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ie.harris\Documents\My documents\JCFA\Finance\24.25\"/>
    </mc:Choice>
  </mc:AlternateContent>
  <bookViews>
    <workbookView xWindow="0" yWindow="0" windowWidth="20490" windowHeight="5430"/>
  </bookViews>
  <sheets>
    <sheet name="CMO" sheetId="2" r:id="rId1"/>
    <sheet name="W1D" sheetId="3" r:id="rId2"/>
    <sheet name="W1A" sheetId="4" r:id="rId3"/>
    <sheet name="026123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7" i="3" l="1"/>
  <c r="F158" i="5"/>
  <c r="F158" i="4"/>
  <c r="F101" i="5"/>
  <c r="G91" i="5"/>
  <c r="F98" i="5"/>
  <c r="G95" i="5"/>
  <c r="F95" i="5"/>
  <c r="F95" i="4"/>
  <c r="F98" i="4"/>
  <c r="F128" i="4"/>
  <c r="F16" i="4"/>
  <c r="F117" i="5"/>
  <c r="E13" i="2"/>
  <c r="F97" i="3"/>
  <c r="F108" i="3" l="1"/>
  <c r="G109" i="3"/>
  <c r="G51" i="3"/>
  <c r="F93" i="4"/>
  <c r="F92" i="4"/>
  <c r="G91" i="4"/>
  <c r="F91" i="4"/>
  <c r="G52" i="4"/>
  <c r="F104" i="5" l="1"/>
  <c r="G101" i="5"/>
  <c r="F128" i="5"/>
  <c r="G98" i="5"/>
  <c r="G89" i="5"/>
  <c r="G92" i="5"/>
  <c r="F91" i="5"/>
  <c r="F92" i="5"/>
  <c r="F88" i="5" l="1"/>
  <c r="G49" i="5" l="1"/>
  <c r="F93" i="5"/>
  <c r="F100" i="3"/>
  <c r="E26" i="2"/>
  <c r="E24" i="2"/>
  <c r="F25" i="4" l="1"/>
  <c r="F25" i="3"/>
  <c r="F90" i="3" l="1"/>
  <c r="F115" i="5" l="1"/>
  <c r="F89" i="5"/>
  <c r="G154" i="5" l="1"/>
  <c r="F154" i="5"/>
  <c r="H153" i="5"/>
  <c r="H152" i="5"/>
  <c r="H151" i="5"/>
  <c r="G149" i="5"/>
  <c r="H148" i="5"/>
  <c r="J148" i="5" s="1"/>
  <c r="H147" i="5"/>
  <c r="J147" i="5" s="1"/>
  <c r="H146" i="5"/>
  <c r="J146" i="5" s="1"/>
  <c r="H144" i="5"/>
  <c r="J144" i="5" s="1"/>
  <c r="G142" i="5"/>
  <c r="H142" i="5" s="1"/>
  <c r="J142" i="5" s="1"/>
  <c r="F142" i="5"/>
  <c r="H141" i="5"/>
  <c r="J141" i="5" s="1"/>
  <c r="H140" i="5"/>
  <c r="J140" i="5" s="1"/>
  <c r="H139" i="5"/>
  <c r="J139" i="5" s="1"/>
  <c r="H138" i="5"/>
  <c r="J138" i="5" s="1"/>
  <c r="G136" i="5"/>
  <c r="H135" i="5"/>
  <c r="H134" i="5"/>
  <c r="H133" i="5"/>
  <c r="J133" i="5" s="1"/>
  <c r="H132" i="5"/>
  <c r="F131" i="5"/>
  <c r="H131" i="5" s="1"/>
  <c r="J131" i="5" s="1"/>
  <c r="H128" i="5"/>
  <c r="H126" i="5"/>
  <c r="J126" i="5" s="1"/>
  <c r="H125" i="5"/>
  <c r="J124" i="5"/>
  <c r="H124" i="5"/>
  <c r="H123" i="5"/>
  <c r="H122" i="5"/>
  <c r="J122" i="5" s="1"/>
  <c r="F129" i="5"/>
  <c r="H120" i="5"/>
  <c r="J120" i="5" s="1"/>
  <c r="G118" i="5"/>
  <c r="F118" i="5"/>
  <c r="H116" i="5"/>
  <c r="J116" i="5" s="1"/>
  <c r="H115" i="5"/>
  <c r="J115" i="5" s="1"/>
  <c r="H114" i="5"/>
  <c r="J114" i="5" s="1"/>
  <c r="H113" i="5"/>
  <c r="J113" i="5" s="1"/>
  <c r="G111" i="5"/>
  <c r="F111" i="5"/>
  <c r="H110" i="5"/>
  <c r="H109" i="5"/>
  <c r="J109" i="5" s="1"/>
  <c r="J108" i="5"/>
  <c r="H108" i="5"/>
  <c r="H107" i="5"/>
  <c r="J107" i="5" s="1"/>
  <c r="H104" i="5"/>
  <c r="J104" i="5" s="1"/>
  <c r="H103" i="5"/>
  <c r="H102" i="5"/>
  <c r="J102" i="5" s="1"/>
  <c r="H98" i="5"/>
  <c r="J98" i="5" s="1"/>
  <c r="H94" i="5"/>
  <c r="J94" i="5" s="1"/>
  <c r="H93" i="5"/>
  <c r="J93" i="5" s="1"/>
  <c r="H92" i="5"/>
  <c r="J92" i="5" s="1"/>
  <c r="H90" i="5"/>
  <c r="J90" i="5" s="1"/>
  <c r="H89" i="5"/>
  <c r="J89" i="5" s="1"/>
  <c r="H88" i="5"/>
  <c r="H83" i="5"/>
  <c r="J83" i="5" s="1"/>
  <c r="H82" i="5"/>
  <c r="J82" i="5" s="1"/>
  <c r="G79" i="5"/>
  <c r="H79" i="5" s="1"/>
  <c r="F79" i="5"/>
  <c r="H78" i="5"/>
  <c r="J78" i="5" s="1"/>
  <c r="H77" i="5"/>
  <c r="J77" i="5" s="1"/>
  <c r="H76" i="5"/>
  <c r="H75" i="5"/>
  <c r="J75" i="5" s="1"/>
  <c r="J74" i="5"/>
  <c r="H74" i="5"/>
  <c r="H73" i="5"/>
  <c r="J73" i="5" s="1"/>
  <c r="H72" i="5"/>
  <c r="J71" i="5"/>
  <c r="H71" i="5"/>
  <c r="H69" i="5"/>
  <c r="J69" i="5" s="1"/>
  <c r="J68" i="5"/>
  <c r="H68" i="5"/>
  <c r="H67" i="5"/>
  <c r="J67" i="5" s="1"/>
  <c r="J66" i="5"/>
  <c r="H66" i="5"/>
  <c r="H65" i="5"/>
  <c r="J65" i="5" s="1"/>
  <c r="J64" i="5"/>
  <c r="H64" i="5"/>
  <c r="H63" i="5"/>
  <c r="J63" i="5" s="1"/>
  <c r="J62" i="5"/>
  <c r="H62" i="5"/>
  <c r="H61" i="5"/>
  <c r="J61" i="5" s="1"/>
  <c r="J60" i="5"/>
  <c r="H60" i="5"/>
  <c r="H59" i="5"/>
  <c r="J59" i="5" s="1"/>
  <c r="J58" i="5"/>
  <c r="H58" i="5"/>
  <c r="H57" i="5"/>
  <c r="J57" i="5" s="1"/>
  <c r="J55" i="5"/>
  <c r="H55" i="5"/>
  <c r="H54" i="5"/>
  <c r="J54" i="5" s="1"/>
  <c r="J53" i="5"/>
  <c r="H53" i="5"/>
  <c r="H52" i="5"/>
  <c r="H50" i="5"/>
  <c r="H49" i="5"/>
  <c r="J49" i="5" s="1"/>
  <c r="H47" i="5"/>
  <c r="J47" i="5" s="1"/>
  <c r="H46" i="5"/>
  <c r="J46" i="5" s="1"/>
  <c r="H45" i="5"/>
  <c r="J45" i="5" s="1"/>
  <c r="H43" i="5"/>
  <c r="H42" i="5"/>
  <c r="G38" i="5"/>
  <c r="F38" i="5"/>
  <c r="H37" i="5"/>
  <c r="H36" i="5"/>
  <c r="J36" i="5" s="1"/>
  <c r="H35" i="5"/>
  <c r="H34" i="5"/>
  <c r="J34" i="5" s="1"/>
  <c r="H33" i="5"/>
  <c r="H32" i="5"/>
  <c r="J32" i="5" s="1"/>
  <c r="H31" i="5"/>
  <c r="H30" i="5"/>
  <c r="J30" i="5" s="1"/>
  <c r="H29" i="5"/>
  <c r="H28" i="5"/>
  <c r="J28" i="5" s="1"/>
  <c r="H26" i="5"/>
  <c r="J26" i="5" s="1"/>
  <c r="H25" i="5"/>
  <c r="J25" i="5" s="1"/>
  <c r="G21" i="5"/>
  <c r="F21" i="5"/>
  <c r="H20" i="5"/>
  <c r="J20" i="5" s="1"/>
  <c r="H19" i="5"/>
  <c r="J19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J13" i="5" s="1"/>
  <c r="H12" i="5"/>
  <c r="J12" i="5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1" i="5"/>
  <c r="H128" i="4"/>
  <c r="J128" i="4" s="1"/>
  <c r="F115" i="4"/>
  <c r="H115" i="4" s="1"/>
  <c r="F114" i="4"/>
  <c r="H114" i="4" s="1"/>
  <c r="F101" i="4"/>
  <c r="H101" i="4" s="1"/>
  <c r="H98" i="4"/>
  <c r="J98" i="4" s="1"/>
  <c r="F89" i="4"/>
  <c r="H89" i="4" s="1"/>
  <c r="J89" i="4" s="1"/>
  <c r="H25" i="4"/>
  <c r="J25" i="4" s="1"/>
  <c r="H158" i="4"/>
  <c r="G154" i="4"/>
  <c r="F154" i="4"/>
  <c r="H153" i="4"/>
  <c r="J153" i="4" s="1"/>
  <c r="H152" i="4"/>
  <c r="J152" i="4" s="1"/>
  <c r="H151" i="4"/>
  <c r="J151" i="4" s="1"/>
  <c r="G149" i="4"/>
  <c r="H148" i="4"/>
  <c r="J148" i="4" s="1"/>
  <c r="H147" i="4"/>
  <c r="J147" i="4" s="1"/>
  <c r="H146" i="4"/>
  <c r="J146" i="4" s="1"/>
  <c r="H144" i="4"/>
  <c r="J144" i="4" s="1"/>
  <c r="G142" i="4"/>
  <c r="F142" i="4"/>
  <c r="H141" i="4"/>
  <c r="J141" i="4" s="1"/>
  <c r="H140" i="4"/>
  <c r="J140" i="4" s="1"/>
  <c r="H139" i="4"/>
  <c r="J139" i="4" s="1"/>
  <c r="H138" i="4"/>
  <c r="J138" i="4" s="1"/>
  <c r="G136" i="4"/>
  <c r="H135" i="4"/>
  <c r="J135" i="4" s="1"/>
  <c r="H134" i="4"/>
  <c r="J134" i="4" s="1"/>
  <c r="H132" i="4"/>
  <c r="J132" i="4" s="1"/>
  <c r="H131" i="4"/>
  <c r="J131" i="4" s="1"/>
  <c r="G129" i="4"/>
  <c r="H127" i="4"/>
  <c r="J127" i="4" s="1"/>
  <c r="H126" i="4"/>
  <c r="J126" i="4" s="1"/>
  <c r="H125" i="4"/>
  <c r="J125" i="4" s="1"/>
  <c r="H124" i="4"/>
  <c r="J124" i="4" s="1"/>
  <c r="H123" i="4"/>
  <c r="J123" i="4" s="1"/>
  <c r="H122" i="4"/>
  <c r="J122" i="4" s="1"/>
  <c r="H120" i="4"/>
  <c r="G118" i="4"/>
  <c r="H117" i="4"/>
  <c r="J117" i="4" s="1"/>
  <c r="H116" i="4"/>
  <c r="J116" i="4" s="1"/>
  <c r="H113" i="4"/>
  <c r="J113" i="4" s="1"/>
  <c r="G111" i="4"/>
  <c r="F111" i="4"/>
  <c r="H110" i="4"/>
  <c r="H109" i="4"/>
  <c r="H108" i="4"/>
  <c r="H107" i="4"/>
  <c r="G105" i="4"/>
  <c r="H104" i="4"/>
  <c r="J104" i="4" s="1"/>
  <c r="H103" i="4"/>
  <c r="J103" i="4" s="1"/>
  <c r="H102" i="4"/>
  <c r="J102" i="4" s="1"/>
  <c r="H95" i="4"/>
  <c r="J95" i="4" s="1"/>
  <c r="H94" i="4"/>
  <c r="J94" i="4" s="1"/>
  <c r="H93" i="4"/>
  <c r="J93" i="4" s="1"/>
  <c r="H90" i="4"/>
  <c r="J90" i="4" s="1"/>
  <c r="H83" i="4"/>
  <c r="J83" i="4" s="1"/>
  <c r="H82" i="4"/>
  <c r="J82" i="4" s="1"/>
  <c r="F79" i="4"/>
  <c r="H78" i="4"/>
  <c r="J78" i="4" s="1"/>
  <c r="H77" i="4"/>
  <c r="J77" i="4" s="1"/>
  <c r="H76" i="4"/>
  <c r="J76" i="4" s="1"/>
  <c r="H75" i="4"/>
  <c r="J75" i="4" s="1"/>
  <c r="H74" i="4"/>
  <c r="J74" i="4" s="1"/>
  <c r="H73" i="4"/>
  <c r="J73" i="4" s="1"/>
  <c r="H72" i="4"/>
  <c r="J72" i="4" s="1"/>
  <c r="H71" i="4"/>
  <c r="J71" i="4" s="1"/>
  <c r="H69" i="4"/>
  <c r="J69" i="4" s="1"/>
  <c r="H68" i="4"/>
  <c r="H67" i="4"/>
  <c r="H66" i="4"/>
  <c r="H65" i="4"/>
  <c r="H64" i="4"/>
  <c r="J64" i="4" s="1"/>
  <c r="H63" i="4"/>
  <c r="H62" i="4"/>
  <c r="J62" i="4" s="1"/>
  <c r="H61" i="4"/>
  <c r="H60" i="4"/>
  <c r="H59" i="4"/>
  <c r="H58" i="4"/>
  <c r="H57" i="4"/>
  <c r="J57" i="4" s="1"/>
  <c r="H55" i="4"/>
  <c r="H54" i="4"/>
  <c r="J54" i="4" s="1"/>
  <c r="H53" i="4"/>
  <c r="H52" i="4"/>
  <c r="J52" i="4" s="1"/>
  <c r="H50" i="4"/>
  <c r="H49" i="4"/>
  <c r="H47" i="4"/>
  <c r="J47" i="4" s="1"/>
  <c r="H46" i="4"/>
  <c r="J46" i="4" s="1"/>
  <c r="H45" i="4"/>
  <c r="J45" i="4" s="1"/>
  <c r="H43" i="4"/>
  <c r="J43" i="4" s="1"/>
  <c r="H42" i="4"/>
  <c r="G38" i="4"/>
  <c r="H37" i="4"/>
  <c r="J37" i="4" s="1"/>
  <c r="H36" i="4"/>
  <c r="J36" i="4" s="1"/>
  <c r="H35" i="4"/>
  <c r="J35" i="4" s="1"/>
  <c r="H34" i="4"/>
  <c r="J34" i="4" s="1"/>
  <c r="H33" i="4"/>
  <c r="J33" i="4" s="1"/>
  <c r="H32" i="4"/>
  <c r="J32" i="4" s="1"/>
  <c r="H31" i="4"/>
  <c r="J31" i="4" s="1"/>
  <c r="H30" i="4"/>
  <c r="J30" i="4" s="1"/>
  <c r="H29" i="4"/>
  <c r="J29" i="4" s="1"/>
  <c r="H28" i="4"/>
  <c r="J28" i="4" s="1"/>
  <c r="H26" i="4"/>
  <c r="J26" i="4" s="1"/>
  <c r="G21" i="4"/>
  <c r="F21" i="4"/>
  <c r="H20" i="4"/>
  <c r="J20" i="4" s="1"/>
  <c r="H19" i="4"/>
  <c r="H18" i="4"/>
  <c r="H17" i="4"/>
  <c r="J17" i="4" s="1"/>
  <c r="H16" i="4"/>
  <c r="J16" i="4" s="1"/>
  <c r="H15" i="4"/>
  <c r="J15" i="4" s="1"/>
  <c r="H14" i="4"/>
  <c r="H13" i="4"/>
  <c r="J13" i="4" s="1"/>
  <c r="H12" i="4"/>
  <c r="J12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E73" i="2"/>
  <c r="F38" i="3"/>
  <c r="H38" i="3" s="1"/>
  <c r="J38" i="3" s="1"/>
  <c r="H157" i="3"/>
  <c r="G153" i="3"/>
  <c r="H152" i="3"/>
  <c r="J152" i="3" s="1"/>
  <c r="J151" i="3"/>
  <c r="H151" i="3"/>
  <c r="G148" i="3"/>
  <c r="F147" i="3"/>
  <c r="H147" i="3" s="1"/>
  <c r="H146" i="3"/>
  <c r="H145" i="3"/>
  <c r="H144" i="3"/>
  <c r="G141" i="3"/>
  <c r="F141" i="3"/>
  <c r="H140" i="3"/>
  <c r="H139" i="3"/>
  <c r="H138" i="3"/>
  <c r="H137" i="3"/>
  <c r="G135" i="3"/>
  <c r="F135" i="3"/>
  <c r="J134" i="3"/>
  <c r="H134" i="3"/>
  <c r="H133" i="3"/>
  <c r="J133" i="3" s="1"/>
  <c r="H132" i="3"/>
  <c r="J132" i="3" s="1"/>
  <c r="H131" i="3"/>
  <c r="J131" i="3" s="1"/>
  <c r="H130" i="3"/>
  <c r="J130" i="3" s="1"/>
  <c r="G128" i="3"/>
  <c r="F128" i="3"/>
  <c r="H127" i="3"/>
  <c r="J127" i="3" s="1"/>
  <c r="H126" i="3"/>
  <c r="J126" i="3" s="1"/>
  <c r="H125" i="3"/>
  <c r="J125" i="3" s="1"/>
  <c r="H124" i="3"/>
  <c r="J124" i="3" s="1"/>
  <c r="H123" i="3"/>
  <c r="J123" i="3" s="1"/>
  <c r="H122" i="3"/>
  <c r="J122" i="3" s="1"/>
  <c r="H121" i="3"/>
  <c r="J121" i="3" s="1"/>
  <c r="H120" i="3"/>
  <c r="J120" i="3" s="1"/>
  <c r="H119" i="3"/>
  <c r="J119" i="3" s="1"/>
  <c r="G117" i="3"/>
  <c r="H116" i="3"/>
  <c r="J116" i="3" s="1"/>
  <c r="H115" i="3"/>
  <c r="J115" i="3" s="1"/>
  <c r="F114" i="3"/>
  <c r="H114" i="3" s="1"/>
  <c r="J114" i="3" s="1"/>
  <c r="F113" i="3"/>
  <c r="H113" i="3" s="1"/>
  <c r="G110" i="3"/>
  <c r="F110" i="3"/>
  <c r="H109" i="3"/>
  <c r="H108" i="3"/>
  <c r="H107" i="3"/>
  <c r="H106" i="3"/>
  <c r="G104" i="3"/>
  <c r="H103" i="3"/>
  <c r="J103" i="3" s="1"/>
  <c r="H102" i="3"/>
  <c r="J102" i="3" s="1"/>
  <c r="H101" i="3"/>
  <c r="J101" i="3" s="1"/>
  <c r="H100" i="3"/>
  <c r="J100" i="3" s="1"/>
  <c r="H97" i="3"/>
  <c r="J97" i="3" s="1"/>
  <c r="H94" i="3"/>
  <c r="H93" i="3"/>
  <c r="J93" i="3" s="1"/>
  <c r="J92" i="3"/>
  <c r="J91" i="3"/>
  <c r="H91" i="3"/>
  <c r="H90" i="3"/>
  <c r="H89" i="3"/>
  <c r="J89" i="3" s="1"/>
  <c r="H87" i="3"/>
  <c r="H82" i="3"/>
  <c r="J82" i="3" s="1"/>
  <c r="J81" i="3"/>
  <c r="H81" i="3"/>
  <c r="G78" i="3"/>
  <c r="F78" i="3"/>
  <c r="J77" i="3"/>
  <c r="H77" i="3"/>
  <c r="H76" i="3"/>
  <c r="J76" i="3" s="1"/>
  <c r="H75" i="3"/>
  <c r="H74" i="3"/>
  <c r="J74" i="3" s="1"/>
  <c r="H73" i="3"/>
  <c r="J73" i="3" s="1"/>
  <c r="J72" i="3"/>
  <c r="H72" i="3"/>
  <c r="H71" i="3"/>
  <c r="H70" i="3"/>
  <c r="J70" i="3" s="1"/>
  <c r="J68" i="3"/>
  <c r="H68" i="3"/>
  <c r="H67" i="3"/>
  <c r="J67" i="3" s="1"/>
  <c r="J66" i="3"/>
  <c r="H66" i="3"/>
  <c r="H65" i="3"/>
  <c r="J65" i="3" s="1"/>
  <c r="J64" i="3"/>
  <c r="H64" i="3"/>
  <c r="H63" i="3"/>
  <c r="J63" i="3" s="1"/>
  <c r="J62" i="3"/>
  <c r="H62" i="3"/>
  <c r="H61" i="3"/>
  <c r="J61" i="3" s="1"/>
  <c r="H60" i="3"/>
  <c r="J60" i="3" s="1"/>
  <c r="H59" i="3"/>
  <c r="J59" i="3" s="1"/>
  <c r="J58" i="3"/>
  <c r="H58" i="3"/>
  <c r="H57" i="3"/>
  <c r="J57" i="3" s="1"/>
  <c r="J56" i="3"/>
  <c r="H56" i="3"/>
  <c r="H54" i="3"/>
  <c r="H53" i="3"/>
  <c r="J52" i="3"/>
  <c r="H52" i="3"/>
  <c r="H51" i="3"/>
  <c r="H49" i="3"/>
  <c r="H48" i="3"/>
  <c r="J48" i="3" s="1"/>
  <c r="A47" i="3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H46" i="3"/>
  <c r="H45" i="3"/>
  <c r="J45" i="3" s="1"/>
  <c r="H43" i="3"/>
  <c r="J43" i="3" s="1"/>
  <c r="H42" i="3"/>
  <c r="J42" i="3" s="1"/>
  <c r="G38" i="3"/>
  <c r="H37" i="3"/>
  <c r="J36" i="3"/>
  <c r="H36" i="3"/>
  <c r="H35" i="3"/>
  <c r="H34" i="3"/>
  <c r="H33" i="3"/>
  <c r="H32" i="3"/>
  <c r="J32" i="3" s="1"/>
  <c r="H31" i="3"/>
  <c r="J31" i="3" s="1"/>
  <c r="H30" i="3"/>
  <c r="J30" i="3" s="1"/>
  <c r="H29" i="3"/>
  <c r="J29" i="3" s="1"/>
  <c r="H28" i="3"/>
  <c r="J28" i="3" s="1"/>
  <c r="H26" i="3"/>
  <c r="J26" i="3" s="1"/>
  <c r="H25" i="3"/>
  <c r="J25" i="3" s="1"/>
  <c r="G21" i="3"/>
  <c r="F21" i="3"/>
  <c r="H20" i="3"/>
  <c r="H19" i="3"/>
  <c r="H18" i="3"/>
  <c r="H17" i="3"/>
  <c r="H16" i="3"/>
  <c r="H15" i="3"/>
  <c r="H14" i="3"/>
  <c r="H13" i="3"/>
  <c r="H12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G83" i="3" l="1"/>
  <c r="H21" i="4"/>
  <c r="J21" i="4" s="1"/>
  <c r="H142" i="4"/>
  <c r="F84" i="5"/>
  <c r="F145" i="5" s="1"/>
  <c r="F149" i="5" s="1"/>
  <c r="H149" i="5" s="1"/>
  <c r="H154" i="5"/>
  <c r="J154" i="5" s="1"/>
  <c r="H38" i="5"/>
  <c r="J38" i="5" s="1"/>
  <c r="H21" i="5"/>
  <c r="J21" i="5" s="1"/>
  <c r="H118" i="5"/>
  <c r="J118" i="5" s="1"/>
  <c r="H117" i="5"/>
  <c r="J117" i="5" s="1"/>
  <c r="H121" i="5"/>
  <c r="F136" i="5"/>
  <c r="H136" i="5" s="1"/>
  <c r="J136" i="5" s="1"/>
  <c r="G84" i="5"/>
  <c r="H84" i="5" s="1"/>
  <c r="H111" i="5"/>
  <c r="J111" i="5" s="1"/>
  <c r="J29" i="5"/>
  <c r="J33" i="5"/>
  <c r="J37" i="5"/>
  <c r="J79" i="5"/>
  <c r="J31" i="5"/>
  <c r="J35" i="5"/>
  <c r="J76" i="5"/>
  <c r="F96" i="5"/>
  <c r="J72" i="5"/>
  <c r="H127" i="5"/>
  <c r="G129" i="5"/>
  <c r="H129" i="5" s="1"/>
  <c r="J43" i="5"/>
  <c r="J52" i="5"/>
  <c r="H95" i="5"/>
  <c r="J125" i="5"/>
  <c r="J153" i="5"/>
  <c r="J88" i="5"/>
  <c r="J103" i="5"/>
  <c r="J110" i="5"/>
  <c r="J123" i="5"/>
  <c r="J128" i="5"/>
  <c r="J135" i="5"/>
  <c r="J151" i="5"/>
  <c r="J42" i="5"/>
  <c r="J50" i="5"/>
  <c r="J121" i="5"/>
  <c r="G96" i="5"/>
  <c r="H91" i="5"/>
  <c r="J132" i="5"/>
  <c r="J134" i="5"/>
  <c r="J152" i="5"/>
  <c r="H154" i="4"/>
  <c r="J154" i="4" s="1"/>
  <c r="F38" i="4"/>
  <c r="H38" i="4" s="1"/>
  <c r="G79" i="4"/>
  <c r="H79" i="4" s="1"/>
  <c r="J79" i="4" s="1"/>
  <c r="H91" i="4"/>
  <c r="J91" i="4" s="1"/>
  <c r="G96" i="4"/>
  <c r="G155" i="4" s="1"/>
  <c r="H111" i="4"/>
  <c r="J111" i="4" s="1"/>
  <c r="F136" i="4"/>
  <c r="H136" i="4" s="1"/>
  <c r="J136" i="4" s="1"/>
  <c r="J42" i="4"/>
  <c r="J115" i="4"/>
  <c r="J142" i="4"/>
  <c r="J19" i="4"/>
  <c r="J50" i="4"/>
  <c r="J55" i="4"/>
  <c r="J60" i="4"/>
  <c r="J66" i="4"/>
  <c r="H88" i="4"/>
  <c r="J110" i="4"/>
  <c r="J14" i="4"/>
  <c r="J18" i="4"/>
  <c r="J53" i="4"/>
  <c r="J58" i="4"/>
  <c r="J67" i="4"/>
  <c r="J107" i="4"/>
  <c r="J101" i="4"/>
  <c r="J108" i="4"/>
  <c r="J68" i="4"/>
  <c r="F118" i="4"/>
  <c r="H118" i="4" s="1"/>
  <c r="J120" i="4"/>
  <c r="J49" i="4"/>
  <c r="J59" i="4"/>
  <c r="J61" i="4"/>
  <c r="J63" i="4"/>
  <c r="J65" i="4"/>
  <c r="F96" i="4"/>
  <c r="J109" i="4"/>
  <c r="J114" i="4"/>
  <c r="F129" i="4"/>
  <c r="H129" i="4" s="1"/>
  <c r="H121" i="4"/>
  <c r="H133" i="4"/>
  <c r="F83" i="3"/>
  <c r="H83" i="3" s="1"/>
  <c r="H110" i="3"/>
  <c r="J110" i="3" s="1"/>
  <c r="H128" i="3"/>
  <c r="J128" i="3" s="1"/>
  <c r="F95" i="3"/>
  <c r="H88" i="3"/>
  <c r="J88" i="3" s="1"/>
  <c r="G95" i="3"/>
  <c r="G154" i="3" s="1"/>
  <c r="H78" i="3"/>
  <c r="J78" i="3" s="1"/>
  <c r="H135" i="3"/>
  <c r="J135" i="3" s="1"/>
  <c r="H141" i="3"/>
  <c r="J141" i="3" s="1"/>
  <c r="J46" i="3"/>
  <c r="J71" i="3"/>
  <c r="J109" i="3"/>
  <c r="J12" i="3"/>
  <c r="J16" i="3"/>
  <c r="J20" i="3"/>
  <c r="J87" i="3"/>
  <c r="J107" i="3"/>
  <c r="J13" i="3"/>
  <c r="J17" i="3"/>
  <c r="J75" i="3"/>
  <c r="J140" i="3"/>
  <c r="J14" i="3"/>
  <c r="J18" i="3"/>
  <c r="J35" i="3"/>
  <c r="J49" i="3"/>
  <c r="J94" i="3"/>
  <c r="J15" i="3"/>
  <c r="J19" i="3"/>
  <c r="J51" i="3"/>
  <c r="J90" i="3"/>
  <c r="J147" i="3"/>
  <c r="J113" i="3"/>
  <c r="H21" i="3"/>
  <c r="J34" i="3"/>
  <c r="J54" i="3"/>
  <c r="J106" i="3"/>
  <c r="J108" i="3"/>
  <c r="F117" i="3"/>
  <c r="H117" i="3" s="1"/>
  <c r="J138" i="3"/>
  <c r="J145" i="3"/>
  <c r="J33" i="3"/>
  <c r="J37" i="3"/>
  <c r="J53" i="3"/>
  <c r="H112" i="3"/>
  <c r="J139" i="3"/>
  <c r="J146" i="3"/>
  <c r="F153" i="3"/>
  <c r="H153" i="3" s="1"/>
  <c r="H150" i="3"/>
  <c r="J137" i="3"/>
  <c r="J144" i="3"/>
  <c r="G100" i="5" l="1"/>
  <c r="G99" i="5"/>
  <c r="H145" i="5"/>
  <c r="J145" i="5" s="1"/>
  <c r="F84" i="4"/>
  <c r="F145" i="4" s="1"/>
  <c r="I37" i="5"/>
  <c r="I20" i="5"/>
  <c r="I73" i="5"/>
  <c r="I18" i="5"/>
  <c r="I21" i="5"/>
  <c r="I54" i="5"/>
  <c r="I16" i="5"/>
  <c r="I17" i="5"/>
  <c r="I15" i="5"/>
  <c r="I55" i="5"/>
  <c r="I42" i="5"/>
  <c r="I35" i="5"/>
  <c r="I12" i="5"/>
  <c r="I29" i="5"/>
  <c r="I77" i="5"/>
  <c r="I19" i="5"/>
  <c r="H96" i="5"/>
  <c r="J95" i="5"/>
  <c r="J129" i="5"/>
  <c r="J149" i="5"/>
  <c r="J127" i="5"/>
  <c r="I84" i="5"/>
  <c r="I75" i="5"/>
  <c r="I71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49" i="5"/>
  <c r="I47" i="5"/>
  <c r="I46" i="5"/>
  <c r="I45" i="5"/>
  <c r="I82" i="5"/>
  <c r="I36" i="5"/>
  <c r="I34" i="5"/>
  <c r="I32" i="5"/>
  <c r="I30" i="5"/>
  <c r="I28" i="5"/>
  <c r="I83" i="5"/>
  <c r="I25" i="5"/>
  <c r="I74" i="5"/>
  <c r="J84" i="5"/>
  <c r="I78" i="5"/>
  <c r="I26" i="5"/>
  <c r="I53" i="5"/>
  <c r="I52" i="5"/>
  <c r="I14" i="5"/>
  <c r="I72" i="5"/>
  <c r="I76" i="5"/>
  <c r="I31" i="5"/>
  <c r="I13" i="5"/>
  <c r="J91" i="5"/>
  <c r="I50" i="5"/>
  <c r="I38" i="5"/>
  <c r="I43" i="5"/>
  <c r="I79" i="5"/>
  <c r="I33" i="5"/>
  <c r="G84" i="4"/>
  <c r="H92" i="4"/>
  <c r="J92" i="4" s="1"/>
  <c r="H96" i="4"/>
  <c r="J88" i="4"/>
  <c r="J38" i="4"/>
  <c r="J121" i="4"/>
  <c r="J133" i="4"/>
  <c r="J129" i="4"/>
  <c r="J118" i="4"/>
  <c r="I82" i="3"/>
  <c r="I49" i="3"/>
  <c r="I19" i="3"/>
  <c r="I70" i="3"/>
  <c r="I35" i="3"/>
  <c r="F143" i="3"/>
  <c r="I36" i="3"/>
  <c r="I45" i="3"/>
  <c r="I52" i="3"/>
  <c r="I53" i="3"/>
  <c r="I33" i="3"/>
  <c r="I54" i="3"/>
  <c r="I51" i="3"/>
  <c r="I15" i="3"/>
  <c r="I74" i="3"/>
  <c r="I48" i="3"/>
  <c r="I26" i="3"/>
  <c r="I31" i="3"/>
  <c r="I13" i="3"/>
  <c r="H95" i="3"/>
  <c r="F98" i="3" s="1"/>
  <c r="I32" i="3"/>
  <c r="I16" i="3"/>
  <c r="I71" i="3"/>
  <c r="I37" i="3"/>
  <c r="I25" i="3"/>
  <c r="I34" i="3"/>
  <c r="I29" i="3"/>
  <c r="I18" i="3"/>
  <c r="J153" i="3"/>
  <c r="I21" i="3"/>
  <c r="J21" i="3"/>
  <c r="J95" i="3"/>
  <c r="J112" i="3"/>
  <c r="I83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43" i="3"/>
  <c r="I42" i="3"/>
  <c r="J83" i="3"/>
  <c r="I81" i="3"/>
  <c r="I76" i="3"/>
  <c r="I38" i="3"/>
  <c r="I72" i="3"/>
  <c r="I14" i="3"/>
  <c r="I77" i="3"/>
  <c r="I30" i="3"/>
  <c r="I17" i="3"/>
  <c r="I78" i="3"/>
  <c r="I46" i="3"/>
  <c r="J117" i="3"/>
  <c r="F148" i="3"/>
  <c r="H148" i="3" s="1"/>
  <c r="H143" i="3"/>
  <c r="J150" i="3"/>
  <c r="G156" i="3"/>
  <c r="G158" i="3" s="1"/>
  <c r="I75" i="3"/>
  <c r="I28" i="3"/>
  <c r="I20" i="3"/>
  <c r="I12" i="3"/>
  <c r="I73" i="3"/>
  <c r="G105" i="5" l="1"/>
  <c r="G155" i="5" s="1"/>
  <c r="G157" i="5" s="1"/>
  <c r="G159" i="5" s="1"/>
  <c r="F100" i="5"/>
  <c r="H101" i="5"/>
  <c r="J101" i="5" s="1"/>
  <c r="F99" i="5"/>
  <c r="H84" i="4"/>
  <c r="I38" i="4" s="1"/>
  <c r="H100" i="5"/>
  <c r="J96" i="5"/>
  <c r="G157" i="4"/>
  <c r="G159" i="4" s="1"/>
  <c r="F149" i="4"/>
  <c r="H149" i="4" s="1"/>
  <c r="H145" i="4"/>
  <c r="F100" i="4"/>
  <c r="H100" i="4" s="1"/>
  <c r="F99" i="4"/>
  <c r="F99" i="3"/>
  <c r="H99" i="3" s="1"/>
  <c r="J99" i="3" s="1"/>
  <c r="H98" i="3"/>
  <c r="J143" i="3"/>
  <c r="J148" i="3"/>
  <c r="I34" i="4" l="1"/>
  <c r="J84" i="4"/>
  <c r="I20" i="4"/>
  <c r="I35" i="4"/>
  <c r="I55" i="4"/>
  <c r="I50" i="4"/>
  <c r="I83" i="4"/>
  <c r="I49" i="4"/>
  <c r="I19" i="4"/>
  <c r="I57" i="4"/>
  <c r="I59" i="4"/>
  <c r="I16" i="4"/>
  <c r="I14" i="4"/>
  <c r="I76" i="4"/>
  <c r="I13" i="4"/>
  <c r="I54" i="4"/>
  <c r="I53" i="4"/>
  <c r="I25" i="4"/>
  <c r="I65" i="4"/>
  <c r="I17" i="4"/>
  <c r="I18" i="4"/>
  <c r="I63" i="4"/>
  <c r="I33" i="4"/>
  <c r="I29" i="4"/>
  <c r="I36" i="4"/>
  <c r="I77" i="4"/>
  <c r="I26" i="4"/>
  <c r="I73" i="4"/>
  <c r="I78" i="4"/>
  <c r="I47" i="4"/>
  <c r="I64" i="4"/>
  <c r="I21" i="4"/>
  <c r="I37" i="4"/>
  <c r="I12" i="4"/>
  <c r="I69" i="4"/>
  <c r="I79" i="4"/>
  <c r="I62" i="4"/>
  <c r="I66" i="4"/>
  <c r="I61" i="4"/>
  <c r="I45" i="4"/>
  <c r="I46" i="4"/>
  <c r="I28" i="4"/>
  <c r="I72" i="4"/>
  <c r="I82" i="4"/>
  <c r="I68" i="4"/>
  <c r="I43" i="4"/>
  <c r="I60" i="4"/>
  <c r="I52" i="4"/>
  <c r="I67" i="4"/>
  <c r="I58" i="4"/>
  <c r="I42" i="4"/>
  <c r="I15" i="4"/>
  <c r="I30" i="4"/>
  <c r="I31" i="4"/>
  <c r="I71" i="4"/>
  <c r="I75" i="4"/>
  <c r="I32" i="4"/>
  <c r="I74" i="4"/>
  <c r="I84" i="4"/>
  <c r="J100" i="5"/>
  <c r="H99" i="5"/>
  <c r="F105" i="5"/>
  <c r="H99" i="4"/>
  <c r="F105" i="4"/>
  <c r="J100" i="4"/>
  <c r="J145" i="4"/>
  <c r="J149" i="4"/>
  <c r="F104" i="3"/>
  <c r="H104" i="3" s="1"/>
  <c r="J98" i="3"/>
  <c r="H105" i="5" l="1"/>
  <c r="F155" i="5"/>
  <c r="J99" i="5"/>
  <c r="H105" i="4"/>
  <c r="F155" i="4"/>
  <c r="J99" i="4"/>
  <c r="F154" i="3"/>
  <c r="F156" i="3" s="1"/>
  <c r="J104" i="3"/>
  <c r="F157" i="5" l="1"/>
  <c r="H155" i="5"/>
  <c r="I105" i="5" s="1"/>
  <c r="J105" i="5"/>
  <c r="H155" i="4"/>
  <c r="I105" i="4" s="1"/>
  <c r="F157" i="4"/>
  <c r="J105" i="4"/>
  <c r="H154" i="3"/>
  <c r="I126" i="3" s="1"/>
  <c r="H156" i="3"/>
  <c r="F158" i="3"/>
  <c r="I155" i="5" l="1"/>
  <c r="I148" i="5"/>
  <c r="I139" i="5"/>
  <c r="I116" i="5"/>
  <c r="I115" i="5"/>
  <c r="I114" i="5"/>
  <c r="I113" i="5"/>
  <c r="I109" i="5"/>
  <c r="I102" i="5"/>
  <c r="I140" i="5"/>
  <c r="J155" i="5"/>
  <c r="I146" i="5"/>
  <c r="I141" i="5"/>
  <c r="I108" i="5"/>
  <c r="I90" i="5"/>
  <c r="I117" i="5"/>
  <c r="I147" i="5"/>
  <c r="I93" i="5"/>
  <c r="I104" i="5"/>
  <c r="I138" i="5"/>
  <c r="I120" i="5"/>
  <c r="I107" i="5"/>
  <c r="I89" i="5"/>
  <c r="I154" i="5"/>
  <c r="I151" i="5"/>
  <c r="I101" i="5"/>
  <c r="I110" i="5"/>
  <c r="I128" i="5"/>
  <c r="I134" i="5"/>
  <c r="I135" i="5"/>
  <c r="I88" i="5"/>
  <c r="I131" i="5"/>
  <c r="I152" i="5"/>
  <c r="I122" i="5"/>
  <c r="I118" i="5"/>
  <c r="I136" i="5"/>
  <c r="I92" i="5"/>
  <c r="I103" i="5"/>
  <c r="I123" i="5"/>
  <c r="I133" i="5"/>
  <c r="I98" i="5"/>
  <c r="I124" i="5"/>
  <c r="I144" i="5"/>
  <c r="I111" i="5"/>
  <c r="I153" i="5"/>
  <c r="I125" i="5"/>
  <c r="I142" i="5"/>
  <c r="I94" i="5"/>
  <c r="I121" i="5"/>
  <c r="I132" i="5"/>
  <c r="I126" i="5"/>
  <c r="I129" i="5"/>
  <c r="I127" i="5"/>
  <c r="I91" i="5"/>
  <c r="I95" i="5"/>
  <c r="I149" i="5"/>
  <c r="I145" i="5"/>
  <c r="I96" i="5"/>
  <c r="I100" i="5"/>
  <c r="I99" i="5"/>
  <c r="H157" i="5"/>
  <c r="F159" i="5"/>
  <c r="H157" i="4"/>
  <c r="F159" i="4"/>
  <c r="J155" i="4"/>
  <c r="I155" i="4"/>
  <c r="I153" i="4"/>
  <c r="I152" i="4"/>
  <c r="I151" i="4"/>
  <c r="I144" i="4"/>
  <c r="I131" i="4"/>
  <c r="I127" i="4"/>
  <c r="I126" i="4"/>
  <c r="I125" i="4"/>
  <c r="I124" i="4"/>
  <c r="I123" i="4"/>
  <c r="I122" i="4"/>
  <c r="I117" i="4"/>
  <c r="I116" i="4"/>
  <c r="I104" i="4"/>
  <c r="I103" i="4"/>
  <c r="I102" i="4"/>
  <c r="I93" i="4"/>
  <c r="I90" i="4"/>
  <c r="I89" i="4"/>
  <c r="I134" i="4"/>
  <c r="I95" i="4"/>
  <c r="I113" i="4"/>
  <c r="I135" i="4"/>
  <c r="I139" i="4"/>
  <c r="I110" i="4"/>
  <c r="I111" i="4"/>
  <c r="I101" i="4"/>
  <c r="I114" i="4"/>
  <c r="I140" i="4"/>
  <c r="I141" i="4"/>
  <c r="I91" i="4"/>
  <c r="I94" i="4"/>
  <c r="I108" i="4"/>
  <c r="I146" i="4"/>
  <c r="I98" i="4"/>
  <c r="I136" i="4"/>
  <c r="I132" i="4"/>
  <c r="I128" i="4"/>
  <c r="I120" i="4"/>
  <c r="I109" i="4"/>
  <c r="I148" i="4"/>
  <c r="I115" i="4"/>
  <c r="I142" i="4"/>
  <c r="I107" i="4"/>
  <c r="I147" i="4"/>
  <c r="I138" i="4"/>
  <c r="I154" i="4"/>
  <c r="I129" i="4"/>
  <c r="I92" i="4"/>
  <c r="I88" i="4"/>
  <c r="I121" i="4"/>
  <c r="I133" i="4"/>
  <c r="I118" i="4"/>
  <c r="I96" i="4"/>
  <c r="I145" i="4"/>
  <c r="I100" i="4"/>
  <c r="I149" i="4"/>
  <c r="I99" i="4"/>
  <c r="I128" i="3"/>
  <c r="I119" i="3"/>
  <c r="I146" i="3"/>
  <c r="I123" i="3"/>
  <c r="I143" i="3"/>
  <c r="I110" i="3"/>
  <c r="I117" i="3"/>
  <c r="I103" i="3"/>
  <c r="I141" i="3"/>
  <c r="I109" i="3"/>
  <c r="I132" i="3"/>
  <c r="I127" i="3"/>
  <c r="I147" i="3"/>
  <c r="I108" i="3"/>
  <c r="I152" i="3"/>
  <c r="I104" i="3"/>
  <c r="I148" i="3"/>
  <c r="I112" i="3"/>
  <c r="I88" i="3"/>
  <c r="I92" i="3"/>
  <c r="I138" i="3"/>
  <c r="I106" i="3"/>
  <c r="I144" i="3"/>
  <c r="I100" i="3"/>
  <c r="I135" i="3"/>
  <c r="I116" i="3"/>
  <c r="I133" i="3"/>
  <c r="I154" i="3"/>
  <c r="I120" i="3"/>
  <c r="I124" i="3"/>
  <c r="J154" i="3"/>
  <c r="I98" i="3"/>
  <c r="I150" i="3"/>
  <c r="I95" i="3"/>
  <c r="I137" i="3"/>
  <c r="I94" i="3"/>
  <c r="I93" i="3"/>
  <c r="I113" i="3"/>
  <c r="I139" i="3"/>
  <c r="I90" i="3"/>
  <c r="I101" i="3"/>
  <c r="I130" i="3"/>
  <c r="I134" i="3"/>
  <c r="I114" i="3"/>
  <c r="I121" i="3"/>
  <c r="I125" i="3"/>
  <c r="I99" i="3"/>
  <c r="I153" i="3"/>
  <c r="I87" i="3"/>
  <c r="I145" i="3"/>
  <c r="I107" i="3"/>
  <c r="I140" i="3"/>
  <c r="I97" i="3"/>
  <c r="I89" i="3"/>
  <c r="I91" i="3"/>
  <c r="I102" i="3"/>
  <c r="I131" i="3"/>
  <c r="I151" i="3"/>
  <c r="I115" i="3"/>
  <c r="I122" i="3"/>
  <c r="H158" i="3"/>
  <c r="K157" i="3"/>
  <c r="H159" i="5" l="1"/>
  <c r="K158" i="5"/>
  <c r="H159" i="4"/>
  <c r="K158" i="4"/>
  <c r="E37" i="2" l="1"/>
  <c r="E11" i="2"/>
  <c r="E61" i="2" l="1"/>
  <c r="E49" i="2"/>
  <c r="E42" i="2"/>
  <c r="E34" i="2"/>
  <c r="E23" i="2"/>
  <c r="E16" i="2"/>
  <c r="E27" i="2" l="1"/>
  <c r="E18" i="2"/>
  <c r="E14" i="2"/>
  <c r="E17" i="2"/>
  <c r="E15" i="2"/>
  <c r="E21" i="2" l="1"/>
  <c r="E67" i="2" s="1"/>
  <c r="H71" i="2" l="1"/>
  <c r="H70" i="2"/>
  <c r="F69" i="2"/>
  <c r="H72" i="2"/>
  <c r="F70" i="2" l="1"/>
  <c r="F72" i="2"/>
  <c r="F71" i="2"/>
</calcChain>
</file>

<file path=xl/sharedStrings.xml><?xml version="1.0" encoding="utf-8"?>
<sst xmlns="http://schemas.openxmlformats.org/spreadsheetml/2006/main" count="703" uniqueCount="263">
  <si>
    <t>Object</t>
  </si>
  <si>
    <t>CMO</t>
  </si>
  <si>
    <t>Revenues</t>
  </si>
  <si>
    <t>Expenditures</t>
  </si>
  <si>
    <t>SALARIES (Object 100 series)</t>
  </si>
  <si>
    <t>ED</t>
  </si>
  <si>
    <t>DTD</t>
  </si>
  <si>
    <t>DRC</t>
  </si>
  <si>
    <t>Newtork Admin</t>
  </si>
  <si>
    <t>SpEd</t>
  </si>
  <si>
    <t>Clerical/Secretarial Salary</t>
  </si>
  <si>
    <t>Custodial Salaries</t>
  </si>
  <si>
    <t>TOTAL SALARIES</t>
  </si>
  <si>
    <t>100</t>
  </si>
  <si>
    <t>EMPLOYEE BENEFITS (Object 200 series)</t>
  </si>
  <si>
    <t>Health Insurance Benefits - Current Employees</t>
  </si>
  <si>
    <t>Social Security</t>
  </si>
  <si>
    <t>Medicare</t>
  </si>
  <si>
    <t>Retirement</t>
  </si>
  <si>
    <t>230-290</t>
  </si>
  <si>
    <t>Unemployment</t>
  </si>
  <si>
    <t>Comp</t>
  </si>
  <si>
    <t>Health Insurance Benefits - Retired Employees</t>
  </si>
  <si>
    <t>CEU</t>
  </si>
  <si>
    <t>Other (excludes amounts on lines 80-85)</t>
  </si>
  <si>
    <t>200-290</t>
  </si>
  <si>
    <t>TOTAL EMPLOYEE BENEFITS</t>
  </si>
  <si>
    <t>200</t>
  </si>
  <si>
    <t>PURCHASED PROF. &amp; TECH. SVCS (Object 300 Series)</t>
  </si>
  <si>
    <t>Legal Services</t>
  </si>
  <si>
    <t>Leadership Development Greenfield</t>
  </si>
  <si>
    <t>300-340</t>
  </si>
  <si>
    <t>background checks, website upkeep, payroll  processing, 4th ss, drug testing COBRA, FSA</t>
  </si>
  <si>
    <t>TOTAL PURCHASED PROF. &amp; TECHNICAL SVCS.</t>
  </si>
  <si>
    <t>300</t>
  </si>
  <si>
    <t>PURCHASED PROPERTY SERVICES (Object 400 Series)</t>
  </si>
  <si>
    <t>Water/Sewerage</t>
  </si>
  <si>
    <t>Building and Land Rent/Lease</t>
  </si>
  <si>
    <t>Equipment &amp; Vehicle Rent/Lease</t>
  </si>
  <si>
    <t>Repairs &amp; Maintenance Services</t>
  </si>
  <si>
    <t>Other (excludes amounts on lines 95-98)</t>
  </si>
  <si>
    <t>400-490</t>
  </si>
  <si>
    <t>TOTAL PURCHASED PROPERTY SERVICES</t>
  </si>
  <si>
    <t>OTHER PURCHASED SERVICES (Object 500 Series)</t>
  </si>
  <si>
    <t>Purchased Student Transportation Services</t>
  </si>
  <si>
    <t>510-519</t>
  </si>
  <si>
    <t>Insurance (property, liability, fleet, errors/omissions, etc.)</t>
  </si>
  <si>
    <t>520-529</t>
  </si>
  <si>
    <t>Survey, Zoom, Cell, Qbooks, BOG postings, and Bills.com</t>
  </si>
  <si>
    <t>In-state BR and Lafayette and PD not covered by federal grants</t>
  </si>
  <si>
    <t>580-583</t>
  </si>
  <si>
    <t>Printing</t>
  </si>
  <si>
    <t>Facebook, Indeed,</t>
  </si>
  <si>
    <t>500-590</t>
  </si>
  <si>
    <t>TOTAL OTHER PURCHASED SERVICES</t>
  </si>
  <si>
    <t>SUPPLIES (Object 600 series)</t>
  </si>
  <si>
    <t>Materials and Supplies</t>
  </si>
  <si>
    <t>Utilities (natural gas, electricity, coal, gasoline)</t>
  </si>
  <si>
    <t>620-629</t>
  </si>
  <si>
    <t>Food &amp; Commodities</t>
  </si>
  <si>
    <t>630-632</t>
  </si>
  <si>
    <t>Books and Periodicals (including textbooks/workbooks)</t>
  </si>
  <si>
    <t>640-644</t>
  </si>
  <si>
    <t>Other Supplies (excludes amounts on lines 109-112)</t>
  </si>
  <si>
    <t>TOTAL SUPPLIES</t>
  </si>
  <si>
    <t>PROPERTY (Object 700 series)</t>
  </si>
  <si>
    <t>Land Purchases and Land Improvements</t>
  </si>
  <si>
    <t>Buildings Acquisitions (existing structures)</t>
  </si>
  <si>
    <t>Equipment/Furnishings</t>
  </si>
  <si>
    <t>730-739</t>
  </si>
  <si>
    <t>Other (Excludes amounts on lines 116-118)</t>
  </si>
  <si>
    <t>700-740</t>
  </si>
  <si>
    <t>TOTAL PROPERTY</t>
  </si>
  <si>
    <t>OTHER OBJECTS (Object 800 series)</t>
  </si>
  <si>
    <t>LAPCS, sams, LASE</t>
  </si>
  <si>
    <t>Interest on Loans/Notes</t>
  </si>
  <si>
    <t>Loan Repayment (principal only)</t>
  </si>
  <si>
    <t>Taxes</t>
  </si>
  <si>
    <t>800 - 890</t>
  </si>
  <si>
    <t>TOTAL OTHER OBJECTS</t>
  </si>
  <si>
    <t>OTHER USES OF FUNDS (Object 900 Series)</t>
  </si>
  <si>
    <t>Indirect</t>
  </si>
  <si>
    <t>900-932</t>
  </si>
  <si>
    <t>Transfer out to other district</t>
  </si>
  <si>
    <t>TOTAL OTHER USES OF FUNDS</t>
  </si>
  <si>
    <t>TOTAL EXPENDITURES</t>
  </si>
  <si>
    <t>100-900</t>
  </si>
  <si>
    <t>Enagement</t>
  </si>
  <si>
    <t>Recruitment</t>
  </si>
  <si>
    <t xml:space="preserve">Student Count Budget is Based on: </t>
  </si>
  <si>
    <t>Actual 2020-21</t>
  </si>
  <si>
    <t>Budget 2022-23</t>
  </si>
  <si>
    <t xml:space="preserve">School Name:  </t>
  </si>
  <si>
    <t>JCFA LAF</t>
  </si>
  <si>
    <t>Item</t>
  </si>
  <si>
    <t>References</t>
  </si>
  <si>
    <t>GF</t>
  </si>
  <si>
    <t>Special Fund</t>
  </si>
  <si>
    <t>L.A.U.G.H.
Source/
Object
Code</t>
  </si>
  <si>
    <t>% of 
Total 
Budget</t>
  </si>
  <si>
    <t>Actual
% of 
Budget</t>
  </si>
  <si>
    <t>Comments/Assumptions</t>
  </si>
  <si>
    <t>REVENUES FROM LOCAL SOURCES</t>
  </si>
  <si>
    <t>Earnings on Investments</t>
  </si>
  <si>
    <t>1500-1542</t>
  </si>
  <si>
    <t>Food Service (Income from meals)</t>
  </si>
  <si>
    <t>1600-1620</t>
  </si>
  <si>
    <t>Contributions and Donations</t>
  </si>
  <si>
    <t>E-Rate Reimbursements</t>
  </si>
  <si>
    <t>Local "MFP" Per Pupil Aid (Local Revenue transfers)</t>
  </si>
  <si>
    <t>Other (exclude amounts on lines 3-7)</t>
  </si>
  <si>
    <t>1000-1999</t>
  </si>
  <si>
    <t>(If needed, add additional revenue sources here)</t>
  </si>
  <si>
    <t>TOTAL REVENUES FROM LOCAL SOURCES</t>
  </si>
  <si>
    <t>REVENUE FROM STATE SOURCES</t>
  </si>
  <si>
    <t>Unrestricted Grants-In-Aid</t>
  </si>
  <si>
    <t>State Per Pupil Aid  -  MFP</t>
  </si>
  <si>
    <t>Includes CDF and SCA</t>
  </si>
  <si>
    <t>payraises</t>
  </si>
  <si>
    <t>Restricted Grants-In-Aid</t>
  </si>
  <si>
    <t>Education Support Fund (8g)</t>
  </si>
  <si>
    <t>PIP</t>
  </si>
  <si>
    <t>Other Restricted Revenues (list grant &amp; amount below)</t>
  </si>
  <si>
    <t xml:space="preserve">     LA-4 (State)</t>
  </si>
  <si>
    <t xml:space="preserve">    Extended School Year Services</t>
  </si>
  <si>
    <t xml:space="preserve">    Educational Excellence Fund (EEF)</t>
  </si>
  <si>
    <t>ERC credits</t>
  </si>
  <si>
    <t>TOTAL REVENUE FROM STATE SOURCES</t>
  </si>
  <si>
    <t>REVENUE FROM FEDERAL SOURCES</t>
  </si>
  <si>
    <t>Unrestricted Grants-In-Aid Direct From the Federal Gov't</t>
  </si>
  <si>
    <t>Impact Aid Fund - Direct from Federal Gov't</t>
  </si>
  <si>
    <t>Other Unrestricted Grants - Direct</t>
  </si>
  <si>
    <t>Restricted Grants-In-Aid Direct From the Federal Gov't</t>
  </si>
  <si>
    <t>ROTC - Direct from Federal Gov't</t>
  </si>
  <si>
    <t>Other Restricted Grants - Direct</t>
  </si>
  <si>
    <t>Restricted Grants-In-Aid From Federal Gov't Thru State</t>
  </si>
  <si>
    <t>Career &amp; Technical Education</t>
  </si>
  <si>
    <t>School Food Service</t>
  </si>
  <si>
    <t>Special Education</t>
  </si>
  <si>
    <t xml:space="preserve">    IDEA - Part B</t>
  </si>
  <si>
    <t>4531</t>
  </si>
  <si>
    <t xml:space="preserve">    IDEA - Preschool</t>
  </si>
  <si>
    <t>4532</t>
  </si>
  <si>
    <t xml:space="preserve">    IDEA - High Cost Services (HCS)</t>
  </si>
  <si>
    <t xml:space="preserve">    Other Special Education Programs</t>
  </si>
  <si>
    <t>4535</t>
  </si>
  <si>
    <t>Every Student Succeeds Act (ESSA)</t>
  </si>
  <si>
    <t xml:space="preserve">    Title I </t>
  </si>
  <si>
    <t>4541</t>
  </si>
  <si>
    <t xml:space="preserve">    Title I - School Improvement</t>
  </si>
  <si>
    <t>redesign</t>
  </si>
  <si>
    <t xml:space="preserve">    Title I, Part C - Migrant</t>
  </si>
  <si>
    <t>4542</t>
  </si>
  <si>
    <t xml:space="preserve">    Title IV - Student Support &amp; Acad. Enrichment (SSAE)</t>
  </si>
  <si>
    <t>4544</t>
  </si>
  <si>
    <t xml:space="preserve">    Title II - Supporting Effective Instruction</t>
  </si>
  <si>
    <t>4545</t>
  </si>
  <si>
    <t xml:space="preserve">    Title III</t>
  </si>
  <si>
    <t xml:space="preserve">    Title IX - Homeless Education</t>
  </si>
  <si>
    <t xml:space="preserve">    Other ESSA Programs</t>
  </si>
  <si>
    <t>Pandemic Relief Funds</t>
  </si>
  <si>
    <t xml:space="preserve">    Gov. Emergency Education Relief Fund (GEERF) I</t>
  </si>
  <si>
    <t xml:space="preserve">    Elem. &amp; Secondary School Emergency Relief (ESSERF) I</t>
  </si>
  <si>
    <t xml:space="preserve">    Elem. &amp; Secondary School Emergency Relief (ESSERF) II</t>
  </si>
  <si>
    <t xml:space="preserve">    American Rescue Plan Elem. &amp; Secondary  (ESSERF) III</t>
  </si>
  <si>
    <t xml:space="preserve">    Rethink K-12 Education Models Discretionary Grant </t>
  </si>
  <si>
    <t xml:space="preserve">    Coronavirus Relief Fund</t>
  </si>
  <si>
    <t xml:space="preserve">    FEMA - Disaster Relief</t>
  </si>
  <si>
    <t>Other Restricted Grants thru State (list grant &amp; amount below)</t>
  </si>
  <si>
    <t>4590</t>
  </si>
  <si>
    <t xml:space="preserve">     Charter School Grant (CSP Funds)</t>
  </si>
  <si>
    <t xml:space="preserve"> TOTAL REVENUE FROM FEDERAL SOURCES</t>
  </si>
  <si>
    <r>
      <t xml:space="preserve">Other Sources of Funds </t>
    </r>
    <r>
      <rPr>
        <i/>
        <sz val="11"/>
        <rFont val="Arial"/>
        <family val="2"/>
      </rPr>
      <t>(Provide Detail)</t>
    </r>
  </si>
  <si>
    <t>TOTAL REVENUES &amp; OTHER SOURCES OF FUNDS</t>
  </si>
  <si>
    <t xml:space="preserve">School Administrators  </t>
  </si>
  <si>
    <t>Principal/Executive Salary</t>
  </si>
  <si>
    <t>Student Liaison</t>
  </si>
  <si>
    <t>Other School Administrators (exclude amounts on lines 79-80)</t>
  </si>
  <si>
    <t>Teachers</t>
  </si>
  <si>
    <t>Therapists/Specialists/Counselors</t>
  </si>
  <si>
    <t>Other (excludes amounts on lines 79-85)</t>
  </si>
  <si>
    <t>100-150</t>
  </si>
  <si>
    <t>Other (excludes amounts on lines 89-94)</t>
  </si>
  <si>
    <t>Accounting/Auditing Services</t>
  </si>
  <si>
    <t>Management Company Services</t>
  </si>
  <si>
    <t xml:space="preserve"> CIS</t>
  </si>
  <si>
    <t>Other Purch Prof/Tech Svcs (excludes amounts on lines 98-100)</t>
  </si>
  <si>
    <t>SpEd eval and grad photos,  Nurse, , Speech , TNTP and NIET Redesign</t>
  </si>
  <si>
    <t>Water</t>
  </si>
  <si>
    <t>Rental of buildings and grad</t>
  </si>
  <si>
    <t>Xerox/rental Car</t>
  </si>
  <si>
    <t>general Maint</t>
  </si>
  <si>
    <t>Other (excludes amounts on lines 104-107)</t>
  </si>
  <si>
    <t>janitorial, trash, terminex</t>
  </si>
  <si>
    <t>Property Insurance</t>
  </si>
  <si>
    <t>Liability insurance</t>
  </si>
  <si>
    <t>Fleet insurance</t>
  </si>
  <si>
    <t>Errors/omissions, etc</t>
  </si>
  <si>
    <t>Faithful performance Bonds</t>
  </si>
  <si>
    <t>Food Service Management</t>
  </si>
  <si>
    <t>570</t>
  </si>
  <si>
    <t>Travel</t>
  </si>
  <si>
    <t>Other (excludes amounts on lines 111-118)</t>
  </si>
  <si>
    <t xml:space="preserve">Edgenuity, internet, stamps, CTE testing </t>
  </si>
  <si>
    <t>Other Supplies (excludes amounts on lines 122-125)</t>
  </si>
  <si>
    <t>600-644</t>
  </si>
  <si>
    <t>Other (Excludes amounts on lines 129-132)</t>
  </si>
  <si>
    <t>Administrative Fee Payable to Dept of Education</t>
  </si>
  <si>
    <t>Dues and Fees</t>
  </si>
  <si>
    <t>Other (excludes amounts on lines 135-138)</t>
  </si>
  <si>
    <t>taxes</t>
  </si>
  <si>
    <t>Indirect Costs</t>
  </si>
  <si>
    <t>Other (Excludes amount on line 142)</t>
  </si>
  <si>
    <t xml:space="preserve">Excess (Deficiency) of Revenues over Expenditures  </t>
  </si>
  <si>
    <t xml:space="preserve">General Fund Balance as a percentage of revenues </t>
  </si>
  <si>
    <t xml:space="preserve">Fund Balance From Prior Year  </t>
  </si>
  <si>
    <t xml:space="preserve">Fund Balance at End of Year  </t>
  </si>
  <si>
    <t>W1A</t>
  </si>
  <si>
    <t>W1D</t>
  </si>
  <si>
    <t>based on</t>
  </si>
  <si>
    <t>JCFA EB</t>
  </si>
  <si>
    <t>SPF</t>
  </si>
  <si>
    <t>Total</t>
  </si>
  <si>
    <t>Prior Year MFP Audit</t>
  </si>
  <si>
    <t>Other Unrestricted Revenues</t>
  </si>
  <si>
    <t>continuation of payraises</t>
  </si>
  <si>
    <t>CDF</t>
  </si>
  <si>
    <t>SCA</t>
  </si>
  <si>
    <t>FEMA</t>
  </si>
  <si>
    <t>JAG</t>
  </si>
  <si>
    <t>Coordiantor of Student Opportunities</t>
  </si>
  <si>
    <t>Life, STD, LTD, certifications</t>
  </si>
  <si>
    <t>TNTP/Redesign</t>
  </si>
  <si>
    <t>Xerox</t>
  </si>
  <si>
    <t>building maintance including plumbing, HVAC, and electrical</t>
  </si>
  <si>
    <t>Janitorial and Trash</t>
  </si>
  <si>
    <t>Transportation</t>
  </si>
  <si>
    <t>teacher leader, JAG, alternative Ed</t>
  </si>
  <si>
    <t xml:space="preserve">Edgenuity, phones, internet, stamps, printing. </t>
  </si>
  <si>
    <t>Elec and Gas</t>
  </si>
  <si>
    <t>LAPCS membership</t>
  </si>
  <si>
    <t>State Admin Fee</t>
  </si>
  <si>
    <t>speech services and evaluations</t>
  </si>
  <si>
    <t>JCFA WB</t>
  </si>
  <si>
    <t>Special</t>
  </si>
  <si>
    <t>Reallocation of Funds Between Schools</t>
  </si>
  <si>
    <t>prior year pay raises</t>
  </si>
  <si>
    <t xml:space="preserve">    American Rescue Plan Elem. &amp; Secondary  (ESSERF) III EB</t>
  </si>
  <si>
    <t xml:space="preserve">    Elem. &amp; Secondary School Emergency Relief (ESSERF) II Incentive</t>
  </si>
  <si>
    <t>Business Official Salary</t>
  </si>
  <si>
    <t xml:space="preserve">Health Insurance Benefits - Current Employees, </t>
  </si>
  <si>
    <t>Delgado and Grad</t>
  </si>
  <si>
    <t>Copiers</t>
  </si>
  <si>
    <t>building maintance</t>
  </si>
  <si>
    <t>Janitorial, trash</t>
  </si>
  <si>
    <t xml:space="preserve"> Wi-Fi, cust service,  chrome mang, ,etc ,title</t>
  </si>
  <si>
    <t>Speech services</t>
  </si>
  <si>
    <t>Rental of Buildings, Grad location</t>
  </si>
  <si>
    <t xml:space="preserve"> Audit, 990 and Retirement</t>
  </si>
  <si>
    <t>LIFE, LTD, STD</t>
  </si>
  <si>
    <t>STEM tutor</t>
  </si>
  <si>
    <t>ESSER 3 9/30/24</t>
  </si>
  <si>
    <t>Budget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</si>
</sst>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#,##0.00"/>
    <numFmt numFmtId="166" formatCode="0.0%"/>
    <numFmt numFmtId="167" formatCode="&quot;$&quot;#,##0"/>
  </numFmts>
  <fonts count="2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4"/>
      <name val="Arial"/>
      <family val="2"/>
    </font>
    <font>
      <u/>
      <sz val="11"/>
      <name val="Arial"/>
      <family val="2"/>
    </font>
    <font>
      <sz val="11"/>
      <color theme="4"/>
      <name val="Calibri"/>
      <family val="2"/>
      <scheme val="minor"/>
    </font>
    <font>
      <sz val="11"/>
      <name val="Arial MT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color rgb="FF0070C0"/>
      <name val="Arial"/>
      <family val="2"/>
    </font>
    <font>
      <sz val="10"/>
      <name val="Arial MT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</fills>
  <borders count="100">
    <border>
      <left/>
      <right/>
      <top/>
      <bottom/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22"/>
      </left>
      <right/>
      <top/>
      <bottom/>
      <diagonal/>
    </border>
    <border>
      <left style="double">
        <color indexed="23"/>
      </left>
      <right/>
      <top/>
      <bottom/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double">
        <color indexed="23"/>
      </left>
      <right/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23"/>
      </right>
      <top/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8"/>
      </right>
      <top style="thin">
        <color indexed="22"/>
      </top>
      <bottom style="thin">
        <color theme="0" tint="-0.249977111117893"/>
      </bottom>
      <diagonal/>
    </border>
    <border>
      <left style="double">
        <color indexed="23"/>
      </left>
      <right style="double">
        <color indexed="8"/>
      </right>
      <top style="thin">
        <color theme="0" tint="-0.249977111117893"/>
      </top>
      <bottom/>
      <diagonal/>
    </border>
    <border>
      <left style="double">
        <color indexed="23"/>
      </left>
      <right style="double">
        <color indexed="8"/>
      </right>
      <top style="thin">
        <color theme="0" tint="-0.249977111117893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 style="double">
        <color indexed="23"/>
      </right>
      <top/>
      <bottom style="thin">
        <color theme="0" tint="-0.249977111117893"/>
      </bottom>
      <diagonal/>
    </border>
    <border>
      <left/>
      <right style="double">
        <color indexed="23"/>
      </right>
      <top style="thin">
        <color indexed="55"/>
      </top>
      <bottom/>
      <diagonal/>
    </border>
    <border>
      <left style="thin">
        <color indexed="23"/>
      </left>
      <right style="double">
        <color indexed="2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indexed="2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3"/>
      </left>
      <right style="double">
        <color indexed="23"/>
      </right>
      <top style="thin">
        <color theme="0" tint="-0.249977111117893"/>
      </top>
      <bottom style="thin">
        <color indexed="22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double">
        <color indexed="8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hair">
        <color indexed="22"/>
      </right>
      <top style="double">
        <color indexed="22"/>
      </top>
      <bottom style="double">
        <color indexed="22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68">
    <xf numFmtId="0" fontId="0" fillId="0" borderId="0" xfId="0"/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right" wrapText="1"/>
    </xf>
    <xf numFmtId="165" fontId="0" fillId="0" borderId="0" xfId="0" applyNumberFormat="1"/>
    <xf numFmtId="165" fontId="5" fillId="0" borderId="0" xfId="0" applyNumberFormat="1" applyFont="1" applyBorder="1" applyAlignment="1"/>
    <xf numFmtId="165" fontId="5" fillId="0" borderId="0" xfId="0" applyNumberFormat="1" applyFont="1" applyBorder="1"/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165" fontId="5" fillId="3" borderId="0" xfId="0" applyNumberFormat="1" applyFont="1" applyFill="1" applyBorder="1" applyAlignment="1" applyProtection="1">
      <alignment vertical="center"/>
    </xf>
    <xf numFmtId="0" fontId="4" fillId="0" borderId="7" xfId="0" applyFont="1" applyBorder="1" applyAlignment="1">
      <alignment vertical="center"/>
    </xf>
    <xf numFmtId="0" fontId="3" fillId="0" borderId="5" xfId="0" quotePrefix="1" applyFont="1" applyBorder="1" applyAlignment="1">
      <alignment horizontal="left" vertical="center"/>
    </xf>
    <xf numFmtId="165" fontId="0" fillId="4" borderId="11" xfId="0" applyNumberFormat="1" applyFont="1" applyFill="1" applyBorder="1"/>
    <xf numFmtId="0" fontId="3" fillId="0" borderId="7" xfId="0" quotePrefix="1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left" vertical="center"/>
    </xf>
    <xf numFmtId="0" fontId="3" fillId="5" borderId="13" xfId="0" quotePrefix="1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>
      <alignment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vertical="center"/>
    </xf>
    <xf numFmtId="165" fontId="7" fillId="4" borderId="11" xfId="0" applyNumberFormat="1" applyFont="1" applyFill="1" applyBorder="1"/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3" xfId="0" quotePrefix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quotePrefix="1" applyFont="1" applyBorder="1" applyAlignment="1" applyProtection="1">
      <alignment horizontal="center" vertical="center"/>
    </xf>
    <xf numFmtId="0" fontId="3" fillId="5" borderId="17" xfId="0" applyFont="1" applyFill="1" applyBorder="1" applyAlignment="1">
      <alignment vertical="center"/>
    </xf>
    <xf numFmtId="0" fontId="3" fillId="5" borderId="17" xfId="0" quotePrefix="1" applyFont="1" applyFill="1" applyBorder="1" applyAlignment="1">
      <alignment horizontal="left" vertical="center"/>
    </xf>
    <xf numFmtId="0" fontId="3" fillId="5" borderId="18" xfId="0" quotePrefix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5" borderId="7" xfId="0" quotePrefix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/>
    <xf numFmtId="0" fontId="3" fillId="6" borderId="13" xfId="0" quotePrefix="1" applyFont="1" applyFill="1" applyBorder="1" applyAlignment="1" applyProtection="1">
      <alignment horizontal="center" vertical="center"/>
    </xf>
    <xf numFmtId="0" fontId="4" fillId="5" borderId="17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left" vertical="center"/>
    </xf>
    <xf numFmtId="0" fontId="4" fillId="6" borderId="18" xfId="0" applyFont="1" applyFill="1" applyBorder="1" applyAlignment="1" applyProtection="1">
      <alignment horizontal="center" vertical="center"/>
    </xf>
    <xf numFmtId="165" fontId="7" fillId="7" borderId="11" xfId="0" applyNumberFormat="1" applyFont="1" applyFill="1" applyBorder="1"/>
    <xf numFmtId="165" fontId="5" fillId="0" borderId="11" xfId="0" applyNumberFormat="1" applyFont="1" applyFill="1" applyBorder="1" applyAlignment="1" applyProtection="1">
      <alignment vertical="center"/>
    </xf>
    <xf numFmtId="165" fontId="5" fillId="0" borderId="11" xfId="0" applyNumberFormat="1" applyFont="1" applyBorder="1" applyAlignment="1" applyProtection="1">
      <alignment horizontal="center" vertical="center"/>
    </xf>
    <xf numFmtId="165" fontId="5" fillId="5" borderId="11" xfId="0" quotePrefix="1" applyNumberFormat="1" applyFont="1" applyFill="1" applyBorder="1" applyAlignment="1" applyProtection="1">
      <alignment horizontal="center" vertical="center"/>
    </xf>
    <xf numFmtId="165" fontId="5" fillId="3" borderId="11" xfId="0" applyNumberFormat="1" applyFont="1" applyFill="1" applyBorder="1" applyAlignment="1" applyProtection="1">
      <alignment horizontal="center" vertical="center"/>
    </xf>
    <xf numFmtId="165" fontId="5" fillId="2" borderId="11" xfId="0" quotePrefix="1" applyNumberFormat="1" applyFont="1" applyFill="1" applyBorder="1" applyAlignment="1" applyProtection="1">
      <alignment horizontal="center" vertical="center"/>
    </xf>
    <xf numFmtId="165" fontId="5" fillId="0" borderId="11" xfId="0" quotePrefix="1" applyNumberFormat="1" applyFont="1" applyBorder="1" applyAlignment="1" applyProtection="1">
      <alignment horizontal="center" vertical="center"/>
    </xf>
    <xf numFmtId="165" fontId="5" fillId="6" borderId="11" xfId="0" quotePrefix="1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quotePrefix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right"/>
    </xf>
    <xf numFmtId="0" fontId="10" fillId="0" borderId="22" xfId="0" applyFont="1" applyBorder="1" applyProtection="1">
      <protection locked="0"/>
    </xf>
    <xf numFmtId="0" fontId="9" fillId="0" borderId="0" xfId="0" applyFont="1" applyAlignment="1">
      <alignment horizontal="right"/>
    </xf>
    <xf numFmtId="0" fontId="12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26" xfId="0" applyFont="1" applyBorder="1" applyAlignment="1">
      <alignment horizontal="center" vertical="center"/>
    </xf>
    <xf numFmtId="0" fontId="9" fillId="0" borderId="0" xfId="0" quotePrefix="1" applyFont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37" fontId="3" fillId="0" borderId="15" xfId="0" applyNumberFormat="1" applyFont="1" applyBorder="1" applyAlignment="1">
      <alignment vertical="center"/>
    </xf>
    <xf numFmtId="0" fontId="3" fillId="0" borderId="23" xfId="0" applyFont="1" applyBorder="1" applyAlignment="1" applyProtection="1">
      <alignment vertical="center"/>
      <protection locked="0"/>
    </xf>
    <xf numFmtId="0" fontId="11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8" fontId="3" fillId="3" borderId="42" xfId="0" applyNumberFormat="1" applyFont="1" applyFill="1" applyBorder="1" applyAlignment="1">
      <alignment vertical="center"/>
    </xf>
    <xf numFmtId="8" fontId="3" fillId="3" borderId="41" xfId="0" applyNumberFormat="1" applyFont="1" applyFill="1" applyBorder="1" applyAlignment="1">
      <alignment vertical="center"/>
    </xf>
    <xf numFmtId="8" fontId="3" fillId="3" borderId="41" xfId="0" applyNumberFormat="1" applyFont="1" applyFill="1" applyBorder="1" applyAlignment="1">
      <alignment horizontal="center" vertical="center"/>
    </xf>
    <xf numFmtId="8" fontId="3" fillId="3" borderId="43" xfId="0" applyNumberFormat="1" applyFont="1" applyFill="1" applyBorder="1" applyAlignment="1" applyProtection="1">
      <alignment horizontal="left" vertical="center"/>
      <protection locked="0"/>
    </xf>
    <xf numFmtId="0" fontId="11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6" fontId="3" fillId="0" borderId="47" xfId="0" applyNumberFormat="1" applyFont="1" applyBorder="1" applyAlignment="1" applyProtection="1">
      <alignment vertical="center"/>
      <protection locked="0"/>
    </xf>
    <xf numFmtId="6" fontId="3" fillId="3" borderId="48" xfId="0" applyNumberFormat="1" applyFont="1" applyFill="1" applyBorder="1" applyAlignment="1">
      <alignment vertical="center"/>
    </xf>
    <xf numFmtId="166" fontId="3" fillId="3" borderId="48" xfId="1" applyNumberFormat="1" applyFont="1" applyFill="1" applyBorder="1" applyAlignment="1" applyProtection="1">
      <alignment horizontal="center" vertical="center"/>
    </xf>
    <xf numFmtId="166" fontId="3" fillId="0" borderId="49" xfId="1" applyNumberFormat="1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6" fontId="3" fillId="3" borderId="52" xfId="0" applyNumberFormat="1" applyFont="1" applyFill="1" applyBorder="1" applyAlignment="1">
      <alignment vertical="center"/>
    </xf>
    <xf numFmtId="6" fontId="3" fillId="0" borderId="52" xfId="0" applyNumberFormat="1" applyFont="1" applyBorder="1" applyAlignment="1" applyProtection="1">
      <alignment vertical="center"/>
      <protection locked="0"/>
    </xf>
    <xf numFmtId="6" fontId="3" fillId="3" borderId="41" xfId="0" applyNumberFormat="1" applyFont="1" applyFill="1" applyBorder="1" applyAlignment="1">
      <alignment vertical="center"/>
    </xf>
    <xf numFmtId="166" fontId="3" fillId="3" borderId="41" xfId="1" applyNumberFormat="1" applyFont="1" applyFill="1" applyBorder="1" applyAlignment="1" applyProtection="1">
      <alignment horizontal="center" vertical="center"/>
    </xf>
    <xf numFmtId="166" fontId="3" fillId="0" borderId="53" xfId="1" applyNumberFormat="1" applyFont="1" applyBorder="1" applyAlignment="1" applyProtection="1">
      <alignment horizontal="left" vertical="center"/>
      <protection locked="0"/>
    </xf>
    <xf numFmtId="166" fontId="3" fillId="0" borderId="54" xfId="1" applyNumberFormat="1" applyFont="1" applyBorder="1" applyAlignment="1" applyProtection="1">
      <alignment horizontal="left" vertical="center"/>
      <protection locked="0"/>
    </xf>
    <xf numFmtId="166" fontId="3" fillId="0" borderId="55" xfId="1" applyNumberFormat="1" applyFont="1" applyBorder="1" applyAlignment="1" applyProtection="1">
      <alignment horizontal="left" vertical="center"/>
      <protection locked="0"/>
    </xf>
    <xf numFmtId="6" fontId="3" fillId="11" borderId="52" xfId="0" applyNumberFormat="1" applyFont="1" applyFill="1" applyBorder="1" applyAlignment="1">
      <alignment vertical="center"/>
    </xf>
    <xf numFmtId="166" fontId="3" fillId="0" borderId="56" xfId="1" applyNumberFormat="1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6" fontId="14" fillId="0" borderId="52" xfId="0" applyNumberFormat="1" applyFont="1" applyBorder="1" applyAlignment="1" applyProtection="1">
      <alignment vertical="center"/>
      <protection locked="0"/>
    </xf>
    <xf numFmtId="6" fontId="3" fillId="3" borderId="57" xfId="0" applyNumberFormat="1" applyFont="1" applyFill="1" applyBorder="1" applyAlignment="1">
      <alignment vertical="center"/>
    </xf>
    <xf numFmtId="166" fontId="3" fillId="3" borderId="57" xfId="1" applyNumberFormat="1" applyFont="1" applyFill="1" applyBorder="1" applyAlignment="1" applyProtection="1">
      <alignment horizontal="center" vertical="center"/>
    </xf>
    <xf numFmtId="0" fontId="11" fillId="5" borderId="44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vertical="center"/>
    </xf>
    <xf numFmtId="0" fontId="3" fillId="5" borderId="51" xfId="0" applyFont="1" applyFill="1" applyBorder="1" applyAlignment="1">
      <alignment horizontal="left" vertical="center"/>
    </xf>
    <xf numFmtId="6" fontId="3" fillId="5" borderId="52" xfId="0" applyNumberFormat="1" applyFont="1" applyFill="1" applyBorder="1" applyAlignment="1">
      <alignment vertical="center"/>
    </xf>
    <xf numFmtId="6" fontId="3" fillId="5" borderId="51" xfId="0" applyNumberFormat="1" applyFont="1" applyFill="1" applyBorder="1" applyAlignment="1">
      <alignment vertical="center"/>
    </xf>
    <xf numFmtId="166" fontId="3" fillId="5" borderId="51" xfId="1" applyNumberFormat="1" applyFont="1" applyFill="1" applyBorder="1" applyAlignment="1" applyProtection="1">
      <alignment horizontal="center" vertical="center"/>
    </xf>
    <xf numFmtId="166" fontId="3" fillId="5" borderId="53" xfId="1" applyNumberFormat="1" applyFont="1" applyFill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horizontal="left" vertical="center"/>
    </xf>
    <xf numFmtId="6" fontId="3" fillId="0" borderId="61" xfId="0" applyNumberFormat="1" applyFont="1" applyBorder="1" applyAlignment="1">
      <alignment vertical="center"/>
    </xf>
    <xf numFmtId="6" fontId="3" fillId="0" borderId="60" xfId="0" applyNumberFormat="1" applyFont="1" applyBorder="1" applyAlignment="1">
      <alignment vertical="center"/>
    </xf>
    <xf numFmtId="6" fontId="3" fillId="0" borderId="62" xfId="0" applyNumberFormat="1" applyFont="1" applyBorder="1" applyAlignment="1" applyProtection="1">
      <alignment horizontal="left" vertical="center"/>
      <protection locked="0"/>
    </xf>
    <xf numFmtId="0" fontId="3" fillId="3" borderId="41" xfId="0" applyFont="1" applyFill="1" applyBorder="1" applyAlignment="1">
      <alignment horizontal="left" vertical="center"/>
    </xf>
    <xf numFmtId="6" fontId="3" fillId="3" borderId="42" xfId="0" applyNumberFormat="1" applyFont="1" applyFill="1" applyBorder="1" applyAlignment="1">
      <alignment vertical="center"/>
    </xf>
    <xf numFmtId="6" fontId="3" fillId="3" borderId="43" xfId="0" applyNumberFormat="1" applyFont="1" applyFill="1" applyBorder="1" applyAlignment="1" applyProtection="1">
      <alignment horizontal="left" vertical="center"/>
      <protection locked="0"/>
    </xf>
    <xf numFmtId="0" fontId="3" fillId="11" borderId="45" xfId="0" applyFont="1" applyFill="1" applyBorder="1" applyAlignment="1">
      <alignment vertical="center"/>
    </xf>
    <xf numFmtId="0" fontId="3" fillId="11" borderId="5" xfId="0" applyFont="1" applyFill="1" applyBorder="1" applyAlignment="1">
      <alignment vertical="center"/>
    </xf>
    <xf numFmtId="0" fontId="3" fillId="3" borderId="46" xfId="0" applyFont="1" applyFill="1" applyBorder="1" applyAlignment="1">
      <alignment horizontal="left" vertical="center"/>
    </xf>
    <xf numFmtId="6" fontId="3" fillId="3" borderId="47" xfId="0" applyNumberFormat="1" applyFont="1" applyFill="1" applyBorder="1" applyAlignment="1">
      <alignment vertical="center"/>
    </xf>
    <xf numFmtId="6" fontId="3" fillId="3" borderId="15" xfId="0" applyNumberFormat="1" applyFont="1" applyFill="1" applyBorder="1" applyAlignment="1">
      <alignment vertical="center"/>
    </xf>
    <xf numFmtId="6" fontId="3" fillId="3" borderId="49" xfId="0" applyNumberFormat="1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vertical="center"/>
    </xf>
    <xf numFmtId="6" fontId="3" fillId="11" borderId="63" xfId="0" applyNumberFormat="1" applyFont="1" applyFill="1" applyBorder="1" applyAlignment="1">
      <alignment vertical="center"/>
    </xf>
    <xf numFmtId="0" fontId="3" fillId="11" borderId="50" xfId="0" applyFont="1" applyFill="1" applyBorder="1" applyAlignment="1">
      <alignment vertical="center"/>
    </xf>
    <xf numFmtId="0" fontId="3" fillId="11" borderId="7" xfId="0" applyFont="1" applyFill="1" applyBorder="1" applyAlignment="1">
      <alignment vertical="center"/>
    </xf>
    <xf numFmtId="0" fontId="3" fillId="3" borderId="51" xfId="0" applyFont="1" applyFill="1" applyBorder="1" applyAlignment="1">
      <alignment horizontal="center" vertical="center"/>
    </xf>
    <xf numFmtId="6" fontId="3" fillId="3" borderId="61" xfId="0" applyNumberFormat="1" applyFont="1" applyFill="1" applyBorder="1" applyAlignment="1">
      <alignment vertical="center"/>
    </xf>
    <xf numFmtId="6" fontId="3" fillId="3" borderId="53" xfId="0" applyNumberFormat="1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/>
    </xf>
    <xf numFmtId="6" fontId="3" fillId="0" borderId="64" xfId="0" applyNumberFormat="1" applyFont="1" applyBorder="1" applyAlignment="1" applyProtection="1">
      <alignment vertical="center"/>
      <protection locked="0"/>
    </xf>
    <xf numFmtId="6" fontId="3" fillId="0" borderId="65" xfId="0" applyNumberFormat="1" applyFont="1" applyBorder="1" applyAlignment="1" applyProtection="1">
      <alignment vertical="center"/>
      <protection locked="0"/>
    </xf>
    <xf numFmtId="0" fontId="3" fillId="4" borderId="7" xfId="0" applyFont="1" applyFill="1" applyBorder="1" applyAlignment="1">
      <alignment vertical="center"/>
    </xf>
    <xf numFmtId="6" fontId="3" fillId="0" borderId="66" xfId="0" applyNumberFormat="1" applyFont="1" applyBorder="1" applyAlignment="1" applyProtection="1">
      <alignment vertical="center"/>
      <protection locked="0"/>
    </xf>
    <xf numFmtId="6" fontId="3" fillId="0" borderId="15" xfId="0" applyNumberFormat="1" applyFont="1" applyBorder="1" applyAlignment="1" applyProtection="1">
      <alignment vertical="center"/>
      <protection locked="0"/>
    </xf>
    <xf numFmtId="6" fontId="3" fillId="0" borderId="67" xfId="0" applyNumberFormat="1" applyFont="1" applyBorder="1" applyAlignment="1" applyProtection="1">
      <alignment vertical="center"/>
      <protection locked="0"/>
    </xf>
    <xf numFmtId="0" fontId="14" fillId="0" borderId="51" xfId="0" applyFont="1" applyBorder="1" applyAlignment="1" applyProtection="1">
      <alignment horizontal="left" vertical="center"/>
      <protection locked="0"/>
    </xf>
    <xf numFmtId="0" fontId="3" fillId="0" borderId="51" xfId="0" applyFont="1" applyBorder="1" applyAlignment="1" applyProtection="1">
      <alignment horizontal="left" vertical="center"/>
      <protection locked="0"/>
    </xf>
    <xf numFmtId="0" fontId="11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70" xfId="0" applyFont="1" applyBorder="1" applyAlignment="1">
      <alignment horizontal="left" vertical="center"/>
    </xf>
    <xf numFmtId="6" fontId="3" fillId="0" borderId="71" xfId="0" applyNumberFormat="1" applyFont="1" applyBorder="1" applyAlignment="1">
      <alignment vertical="center"/>
    </xf>
    <xf numFmtId="6" fontId="3" fillId="0" borderId="70" xfId="0" applyNumberFormat="1" applyFont="1" applyBorder="1" applyAlignment="1">
      <alignment vertical="center"/>
    </xf>
    <xf numFmtId="166" fontId="3" fillId="0" borderId="70" xfId="1" applyNumberFormat="1" applyFont="1" applyFill="1" applyBorder="1" applyAlignment="1" applyProtection="1">
      <alignment horizontal="center" vertical="center"/>
    </xf>
    <xf numFmtId="166" fontId="3" fillId="0" borderId="72" xfId="1" applyNumberFormat="1" applyFont="1" applyFill="1" applyBorder="1" applyAlignment="1" applyProtection="1">
      <alignment horizontal="left" vertical="center"/>
      <protection locked="0"/>
    </xf>
    <xf numFmtId="0" fontId="11" fillId="3" borderId="73" xfId="0" applyFont="1" applyFill="1" applyBorder="1" applyAlignment="1">
      <alignment horizontal="center" vertical="center"/>
    </xf>
    <xf numFmtId="166" fontId="3" fillId="3" borderId="43" xfId="1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8" fontId="3" fillId="3" borderId="47" xfId="0" applyNumberFormat="1" applyFont="1" applyFill="1" applyBorder="1" applyAlignment="1">
      <alignment vertical="center"/>
    </xf>
    <xf numFmtId="8" fontId="3" fillId="3" borderId="48" xfId="0" applyNumberFormat="1" applyFont="1" applyFill="1" applyBorder="1" applyAlignment="1">
      <alignment vertical="center"/>
    </xf>
    <xf numFmtId="166" fontId="3" fillId="3" borderId="49" xfId="1" applyNumberFormat="1" applyFont="1" applyFill="1" applyBorder="1" applyAlignment="1" applyProtection="1">
      <alignment horizontal="center" vertical="center"/>
      <protection locked="0"/>
    </xf>
    <xf numFmtId="6" fontId="3" fillId="0" borderId="61" xfId="0" applyNumberFormat="1" applyFont="1" applyBorder="1" applyAlignment="1" applyProtection="1">
      <alignment vertical="center"/>
      <protection locked="0"/>
    </xf>
    <xf numFmtId="6" fontId="3" fillId="3" borderId="74" xfId="0" applyNumberFormat="1" applyFont="1" applyFill="1" applyBorder="1" applyAlignment="1">
      <alignment vertical="center"/>
    </xf>
    <xf numFmtId="166" fontId="3" fillId="3" borderId="53" xfId="1" applyNumberFormat="1" applyFont="1" applyFill="1" applyBorder="1" applyAlignment="1" applyProtection="1">
      <alignment horizontal="left" vertical="center"/>
      <protection locked="0"/>
    </xf>
    <xf numFmtId="6" fontId="3" fillId="0" borderId="75" xfId="0" applyNumberFormat="1" applyFont="1" applyBorder="1" applyAlignment="1" applyProtection="1">
      <alignment vertical="center"/>
      <protection locked="0"/>
    </xf>
    <xf numFmtId="6" fontId="3" fillId="3" borderId="76" xfId="0" applyNumberFormat="1" applyFont="1" applyFill="1" applyBorder="1" applyAlignment="1">
      <alignment vertical="center"/>
    </xf>
    <xf numFmtId="0" fontId="3" fillId="11" borderId="51" xfId="0" applyFont="1" applyFill="1" applyBorder="1" applyAlignment="1">
      <alignment horizontal="center" vertical="center"/>
    </xf>
    <xf numFmtId="6" fontId="3" fillId="11" borderId="42" xfId="0" applyNumberFormat="1" applyFont="1" applyFill="1" applyBorder="1" applyAlignment="1">
      <alignment vertical="center"/>
    </xf>
    <xf numFmtId="166" fontId="3" fillId="0" borderId="53" xfId="1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  <xf numFmtId="0" fontId="11" fillId="5" borderId="10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left" vertical="center"/>
    </xf>
    <xf numFmtId="6" fontId="3" fillId="3" borderId="78" xfId="0" applyNumberFormat="1" applyFont="1" applyFill="1" applyBorder="1" applyAlignment="1">
      <alignment vertical="center"/>
    </xf>
    <xf numFmtId="6" fontId="3" fillId="3" borderId="77" xfId="0" applyNumberFormat="1" applyFont="1" applyFill="1" applyBorder="1" applyAlignment="1">
      <alignment vertical="center"/>
    </xf>
    <xf numFmtId="166" fontId="3" fillId="3" borderId="77" xfId="1" applyNumberFormat="1" applyFont="1" applyFill="1" applyBorder="1" applyAlignment="1" applyProtection="1">
      <alignment horizontal="center" vertical="center"/>
    </xf>
    <xf numFmtId="166" fontId="3" fillId="3" borderId="79" xfId="1" applyNumberFormat="1" applyFont="1" applyFill="1" applyBorder="1" applyAlignment="1" applyProtection="1">
      <alignment horizontal="left" vertical="center"/>
      <protection locked="0"/>
    </xf>
    <xf numFmtId="166" fontId="3" fillId="3" borderId="49" xfId="1" applyNumberFormat="1" applyFont="1" applyFill="1" applyBorder="1" applyAlignment="1" applyProtection="1">
      <alignment horizontal="left" vertical="center"/>
      <protection locked="0"/>
    </xf>
    <xf numFmtId="0" fontId="11" fillId="5" borderId="16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left" vertical="center"/>
    </xf>
    <xf numFmtId="6" fontId="4" fillId="5" borderId="71" xfId="0" applyNumberFormat="1" applyFont="1" applyFill="1" applyBorder="1" applyAlignment="1">
      <alignment vertical="center"/>
    </xf>
    <xf numFmtId="6" fontId="3" fillId="5" borderId="70" xfId="0" applyNumberFormat="1" applyFont="1" applyFill="1" applyBorder="1" applyAlignment="1">
      <alignment vertical="center"/>
    </xf>
    <xf numFmtId="166" fontId="3" fillId="5" borderId="70" xfId="1" applyNumberFormat="1" applyFont="1" applyFill="1" applyBorder="1" applyAlignment="1" applyProtection="1">
      <alignment horizontal="center" vertical="center"/>
    </xf>
    <xf numFmtId="166" fontId="3" fillId="5" borderId="72" xfId="1" applyNumberFormat="1" applyFont="1" applyFill="1" applyBorder="1" applyAlignment="1" applyProtection="1">
      <alignment horizontal="left" vertical="center"/>
      <protection locked="0"/>
    </xf>
    <xf numFmtId="0" fontId="11" fillId="0" borderId="4" xfId="0" applyFont="1" applyBorder="1" applyAlignment="1">
      <alignment horizontal="center" vertical="center"/>
    </xf>
    <xf numFmtId="5" fontId="3" fillId="0" borderId="80" xfId="0" applyNumberFormat="1" applyFont="1" applyBorder="1" applyAlignment="1">
      <alignment vertical="center"/>
    </xf>
    <xf numFmtId="5" fontId="3" fillId="0" borderId="15" xfId="0" applyNumberFormat="1" applyFont="1" applyBorder="1" applyAlignment="1">
      <alignment vertical="center"/>
    </xf>
    <xf numFmtId="0" fontId="3" fillId="0" borderId="39" xfId="0" quotePrefix="1" applyFont="1" applyBorder="1" applyAlignment="1">
      <alignment horizontal="center" vertical="center"/>
    </xf>
    <xf numFmtId="166" fontId="3" fillId="0" borderId="39" xfId="1" applyNumberFormat="1" applyFont="1" applyFill="1" applyBorder="1" applyAlignment="1" applyProtection="1">
      <alignment horizontal="center" vertical="center"/>
    </xf>
    <xf numFmtId="166" fontId="3" fillId="0" borderId="23" xfId="1" applyNumberFormat="1" applyFont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37" fontId="3" fillId="3" borderId="42" xfId="0" applyNumberFormat="1" applyFont="1" applyFill="1" applyBorder="1" applyAlignment="1">
      <alignment vertical="center"/>
    </xf>
    <xf numFmtId="0" fontId="3" fillId="3" borderId="41" xfId="0" quotePrefix="1" applyFont="1" applyFill="1" applyBorder="1" applyAlignment="1">
      <alignment horizontal="center" vertical="center"/>
    </xf>
    <xf numFmtId="166" fontId="3" fillId="3" borderId="43" xfId="1" applyNumberFormat="1" applyFont="1" applyFill="1" applyBorder="1" applyAlignment="1" applyProtection="1">
      <alignment horizontal="left" vertical="center"/>
      <protection locked="0"/>
    </xf>
    <xf numFmtId="0" fontId="3" fillId="3" borderId="46" xfId="0" applyFont="1" applyFill="1" applyBorder="1" applyAlignment="1">
      <alignment vertical="center"/>
    </xf>
    <xf numFmtId="37" fontId="3" fillId="3" borderId="81" xfId="0" applyNumberFormat="1" applyFont="1" applyFill="1" applyBorder="1" applyAlignment="1">
      <alignment vertical="center"/>
    </xf>
    <xf numFmtId="5" fontId="5" fillId="0" borderId="82" xfId="0" applyNumberFormat="1" applyFont="1" applyFill="1" applyBorder="1" applyAlignment="1" applyProtection="1">
      <alignment vertical="center"/>
      <protection locked="0"/>
    </xf>
    <xf numFmtId="5" fontId="5" fillId="0" borderId="82" xfId="0" applyNumberFormat="1" applyFont="1" applyBorder="1" applyAlignment="1" applyProtection="1">
      <alignment vertical="center"/>
      <protection locked="0"/>
    </xf>
    <xf numFmtId="5" fontId="3" fillId="0" borderId="82" xfId="0" applyNumberFormat="1" applyFont="1" applyBorder="1" applyAlignment="1" applyProtection="1">
      <alignment vertical="center"/>
      <protection locked="0"/>
    </xf>
    <xf numFmtId="0" fontId="3" fillId="5" borderId="51" xfId="0" quotePrefix="1" applyFont="1" applyFill="1" applyBorder="1" applyAlignment="1">
      <alignment horizontal="center" vertical="center"/>
    </xf>
    <xf numFmtId="6" fontId="3" fillId="12" borderId="82" xfId="0" applyNumberFormat="1" applyFont="1" applyFill="1" applyBorder="1" applyAlignment="1">
      <alignment vertical="center"/>
    </xf>
    <xf numFmtId="5" fontId="3" fillId="3" borderId="52" xfId="0" applyNumberFormat="1" applyFont="1" applyFill="1" applyBorder="1" applyAlignment="1">
      <alignment vertical="center"/>
    </xf>
    <xf numFmtId="6" fontId="3" fillId="3" borderId="51" xfId="0" applyNumberFormat="1" applyFont="1" applyFill="1" applyBorder="1" applyAlignment="1">
      <alignment vertical="center"/>
    </xf>
    <xf numFmtId="166" fontId="3" fillId="3" borderId="51" xfId="1" applyNumberFormat="1" applyFont="1" applyFill="1" applyBorder="1" applyAlignment="1" applyProtection="1">
      <alignment horizontal="center" vertical="center"/>
    </xf>
    <xf numFmtId="5" fontId="5" fillId="0" borderId="81" xfId="0" applyNumberFormat="1" applyFont="1" applyBorder="1" applyAlignment="1" applyProtection="1">
      <alignment vertical="center"/>
      <protection locked="0"/>
    </xf>
    <xf numFmtId="5" fontId="5" fillId="0" borderId="81" xfId="0" applyNumberFormat="1" applyFont="1" applyFill="1" applyBorder="1" applyAlignment="1" applyProtection="1">
      <alignment vertical="center"/>
      <protection locked="0"/>
    </xf>
    <xf numFmtId="5" fontId="3" fillId="0" borderId="81" xfId="0" applyNumberFormat="1" applyFont="1" applyBorder="1" applyAlignment="1" applyProtection="1">
      <alignment vertical="center"/>
      <protection locked="0"/>
    </xf>
    <xf numFmtId="166" fontId="3" fillId="0" borderId="5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51" xfId="0" quotePrefix="1" applyFont="1" applyBorder="1" applyAlignment="1">
      <alignment horizontal="center" vertical="center"/>
    </xf>
    <xf numFmtId="0" fontId="3" fillId="5" borderId="70" xfId="0" quotePrefix="1" applyFont="1" applyFill="1" applyBorder="1" applyAlignment="1">
      <alignment horizontal="center" vertical="center"/>
    </xf>
    <xf numFmtId="6" fontId="3" fillId="12" borderId="83" xfId="0" applyNumberFormat="1" applyFont="1" applyFill="1" applyBorder="1" applyAlignment="1">
      <alignment vertical="center"/>
    </xf>
    <xf numFmtId="0" fontId="11" fillId="3" borderId="19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5" fontId="3" fillId="3" borderId="47" xfId="0" applyNumberFormat="1" applyFont="1" applyFill="1" applyBorder="1" applyAlignment="1">
      <alignment vertical="center"/>
    </xf>
    <xf numFmtId="6" fontId="3" fillId="3" borderId="46" xfId="0" applyNumberFormat="1" applyFont="1" applyFill="1" applyBorder="1" applyAlignment="1">
      <alignment vertical="center"/>
    </xf>
    <xf numFmtId="166" fontId="3" fillId="3" borderId="46" xfId="1" applyNumberFormat="1" applyFont="1" applyFill="1" applyBorder="1" applyAlignment="1" applyProtection="1">
      <alignment horizontal="center" vertical="center"/>
    </xf>
    <xf numFmtId="5" fontId="3" fillId="0" borderId="84" xfId="0" applyNumberFormat="1" applyFont="1" applyBorder="1" applyAlignment="1" applyProtection="1">
      <alignment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11" borderId="85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11" fillId="6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 applyProtection="1">
      <alignment vertical="center"/>
      <protection locked="0"/>
    </xf>
    <xf numFmtId="0" fontId="4" fillId="5" borderId="86" xfId="0" applyFont="1" applyFill="1" applyBorder="1" applyAlignment="1">
      <alignment horizontal="center" vertical="center"/>
    </xf>
    <xf numFmtId="6" fontId="4" fillId="5" borderId="83" xfId="0" applyNumberFormat="1" applyFont="1" applyFill="1" applyBorder="1" applyAlignment="1">
      <alignment vertical="center"/>
    </xf>
    <xf numFmtId="6" fontId="4" fillId="5" borderId="70" xfId="0" applyNumberFormat="1" applyFont="1" applyFill="1" applyBorder="1" applyAlignment="1">
      <alignment vertical="center"/>
    </xf>
    <xf numFmtId="166" fontId="4" fillId="5" borderId="70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5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6" fontId="4" fillId="13" borderId="87" xfId="0" applyNumberFormat="1" applyFont="1" applyFill="1" applyBorder="1" applyAlignment="1">
      <alignment vertical="center"/>
    </xf>
    <xf numFmtId="6" fontId="4" fillId="13" borderId="88" xfId="0" applyNumberFormat="1" applyFont="1" applyFill="1" applyBorder="1" applyAlignment="1">
      <alignment vertical="center"/>
    </xf>
    <xf numFmtId="6" fontId="4" fillId="3" borderId="89" xfId="0" applyNumberFormat="1" applyFont="1" applyFill="1" applyBorder="1" applyAlignment="1">
      <alignment vertical="center"/>
    </xf>
    <xf numFmtId="0" fontId="4" fillId="14" borderId="90" xfId="0" applyFont="1" applyFill="1" applyBorder="1" applyAlignment="1">
      <alignment horizontal="center" vertical="center"/>
    </xf>
    <xf numFmtId="6" fontId="4" fillId="11" borderId="91" xfId="0" applyNumberFormat="1" applyFont="1" applyFill="1" applyBorder="1" applyAlignment="1">
      <alignment vertical="center"/>
    </xf>
    <xf numFmtId="6" fontId="4" fillId="11" borderId="92" xfId="0" applyNumberFormat="1" applyFont="1" applyFill="1" applyBorder="1" applyAlignment="1">
      <alignment vertical="center"/>
    </xf>
    <xf numFmtId="6" fontId="4" fillId="3" borderId="93" xfId="0" applyNumberFormat="1" applyFont="1" applyFill="1" applyBorder="1" applyAlignment="1">
      <alignment vertical="center"/>
    </xf>
    <xf numFmtId="9" fontId="4" fillId="14" borderId="94" xfId="0" applyNumberFormat="1" applyFont="1" applyFill="1" applyBorder="1" applyAlignment="1">
      <alignment horizontal="center" vertical="center"/>
    </xf>
    <xf numFmtId="6" fontId="4" fillId="13" borderId="95" xfId="0" applyNumberFormat="1" applyFont="1" applyFill="1" applyBorder="1" applyAlignment="1">
      <alignment vertical="center"/>
    </xf>
    <xf numFmtId="6" fontId="4" fillId="13" borderId="96" xfId="0" applyNumberFormat="1" applyFont="1" applyFill="1" applyBorder="1" applyAlignment="1">
      <alignment vertical="center"/>
    </xf>
    <xf numFmtId="6" fontId="4" fillId="3" borderId="97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6" fontId="4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left" wrapText="1"/>
    </xf>
    <xf numFmtId="165" fontId="9" fillId="0" borderId="0" xfId="0" quotePrefix="1" applyNumberFormat="1" applyFont="1" applyAlignment="1">
      <alignment horizontal="right"/>
    </xf>
    <xf numFmtId="0" fontId="10" fillId="0" borderId="22" xfId="0" applyFont="1" applyBorder="1" applyAlignment="1" applyProtection="1">
      <alignment wrapText="1"/>
      <protection locked="0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165" fontId="9" fillId="0" borderId="0" xfId="0" quotePrefix="1" applyNumberFormat="1" applyFont="1" applyAlignment="1">
      <alignment horizontal="center"/>
    </xf>
    <xf numFmtId="0" fontId="10" fillId="0" borderId="0" xfId="0" applyFont="1" applyAlignment="1">
      <alignment vertical="center" wrapText="1"/>
    </xf>
    <xf numFmtId="165" fontId="3" fillId="0" borderId="39" xfId="0" applyNumberFormat="1" applyFont="1" applyBorder="1" applyAlignment="1">
      <alignment vertical="center"/>
    </xf>
    <xf numFmtId="0" fontId="3" fillId="0" borderId="23" xfId="0" applyFont="1" applyBorder="1" applyAlignment="1" applyProtection="1">
      <alignment vertical="center" wrapText="1"/>
      <protection locked="0"/>
    </xf>
    <xf numFmtId="165" fontId="3" fillId="3" borderId="41" xfId="0" applyNumberFormat="1" applyFont="1" applyFill="1" applyBorder="1" applyAlignment="1">
      <alignment horizontal="center" vertical="center"/>
    </xf>
    <xf numFmtId="8" fontId="3" fillId="3" borderId="43" xfId="0" applyNumberFormat="1" applyFont="1" applyFill="1" applyBorder="1" applyAlignment="1" applyProtection="1">
      <alignment horizontal="left" vertical="center" wrapText="1"/>
      <protection locked="0"/>
    </xf>
    <xf numFmtId="165" fontId="3" fillId="3" borderId="48" xfId="1" applyNumberFormat="1" applyFont="1" applyFill="1" applyBorder="1" applyAlignment="1" applyProtection="1">
      <alignment horizontal="center" vertical="center"/>
    </xf>
    <xf numFmtId="166" fontId="3" fillId="0" borderId="49" xfId="1" applyNumberFormat="1" applyFont="1" applyBorder="1" applyAlignment="1" applyProtection="1">
      <alignment horizontal="left" vertical="center" wrapText="1"/>
      <protection locked="0"/>
    </xf>
    <xf numFmtId="165" fontId="3" fillId="3" borderId="41" xfId="1" applyNumberFormat="1" applyFont="1" applyFill="1" applyBorder="1" applyAlignment="1" applyProtection="1">
      <alignment horizontal="center" vertical="center"/>
    </xf>
    <xf numFmtId="6" fontId="5" fillId="0" borderId="47" xfId="0" applyNumberFormat="1" applyFont="1" applyBorder="1" applyAlignment="1" applyProtection="1">
      <alignment vertical="center"/>
      <protection locked="0"/>
    </xf>
    <xf numFmtId="166" fontId="3" fillId="0" borderId="54" xfId="1" applyNumberFormat="1" applyFont="1" applyBorder="1" applyAlignment="1" applyProtection="1">
      <alignment horizontal="left" vertical="center" wrapText="1"/>
      <protection locked="0"/>
    </xf>
    <xf numFmtId="166" fontId="3" fillId="0" borderId="55" xfId="1" applyNumberFormat="1" applyFont="1" applyBorder="1" applyAlignment="1" applyProtection="1">
      <alignment horizontal="left" vertical="center" wrapText="1"/>
      <protection locked="0"/>
    </xf>
    <xf numFmtId="166" fontId="5" fillId="0" borderId="56" xfId="1" applyNumberFormat="1" applyFont="1" applyBorder="1" applyAlignment="1" applyProtection="1">
      <alignment horizontal="left" vertical="center" wrapText="1"/>
      <protection locked="0"/>
    </xf>
    <xf numFmtId="165" fontId="3" fillId="3" borderId="57" xfId="1" applyNumberFormat="1" applyFont="1" applyFill="1" applyBorder="1" applyAlignment="1" applyProtection="1">
      <alignment horizontal="center" vertical="center"/>
    </xf>
    <xf numFmtId="6" fontId="5" fillId="5" borderId="52" xfId="0" applyNumberFormat="1" applyFont="1" applyFill="1" applyBorder="1" applyAlignment="1">
      <alignment vertical="center"/>
    </xf>
    <xf numFmtId="165" fontId="3" fillId="5" borderId="51" xfId="1" applyNumberFormat="1" applyFont="1" applyFill="1" applyBorder="1" applyAlignment="1" applyProtection="1">
      <alignment horizontal="center" vertical="center"/>
    </xf>
    <xf numFmtId="166" fontId="3" fillId="5" borderId="53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60" xfId="0" applyNumberFormat="1" applyFont="1" applyBorder="1" applyAlignment="1">
      <alignment vertical="center"/>
    </xf>
    <xf numFmtId="6" fontId="3" fillId="0" borderId="62" xfId="0" applyNumberFormat="1" applyFont="1" applyBorder="1" applyAlignment="1" applyProtection="1">
      <alignment horizontal="left" vertical="center" wrapText="1"/>
      <protection locked="0"/>
    </xf>
    <xf numFmtId="165" fontId="3" fillId="3" borderId="41" xfId="0" applyNumberFormat="1" applyFont="1" applyFill="1" applyBorder="1" applyAlignment="1">
      <alignment vertical="center"/>
    </xf>
    <xf numFmtId="6" fontId="3" fillId="3" borderId="43" xfId="0" applyNumberFormat="1" applyFont="1" applyFill="1" applyBorder="1" applyAlignment="1" applyProtection="1">
      <alignment horizontal="left" vertical="center" wrapText="1"/>
      <protection locked="0"/>
    </xf>
    <xf numFmtId="165" fontId="3" fillId="3" borderId="48" xfId="0" applyNumberFormat="1" applyFont="1" applyFill="1" applyBorder="1" applyAlignment="1">
      <alignment vertical="center"/>
    </xf>
    <xf numFmtId="6" fontId="3" fillId="3" borderId="49" xfId="0" applyNumberFormat="1" applyFont="1" applyFill="1" applyBorder="1" applyAlignment="1" applyProtection="1">
      <alignment horizontal="left" vertical="center" wrapText="1"/>
      <protection locked="0"/>
    </xf>
    <xf numFmtId="166" fontId="5" fillId="0" borderId="53" xfId="1" applyNumberFormat="1" applyFont="1" applyBorder="1" applyAlignment="1" applyProtection="1">
      <alignment horizontal="left" vertical="center" wrapText="1"/>
      <protection locked="0"/>
    </xf>
    <xf numFmtId="6" fontId="3" fillId="3" borderId="53" xfId="0" applyNumberFormat="1" applyFont="1" applyFill="1" applyBorder="1" applyAlignment="1" applyProtection="1">
      <alignment horizontal="left" vertical="center" wrapText="1"/>
      <protection locked="0"/>
    </xf>
    <xf numFmtId="165" fontId="3" fillId="0" borderId="70" xfId="1" applyNumberFormat="1" applyFont="1" applyFill="1" applyBorder="1" applyAlignment="1" applyProtection="1">
      <alignment horizontal="center" vertical="center"/>
    </xf>
    <xf numFmtId="166" fontId="3" fillId="0" borderId="72" xfId="1" applyNumberFormat="1" applyFont="1" applyFill="1" applyBorder="1" applyAlignment="1" applyProtection="1">
      <alignment horizontal="left" vertical="center" wrapText="1"/>
      <protection locked="0"/>
    </xf>
    <xf numFmtId="166" fontId="3" fillId="3" borderId="43" xfId="1" applyNumberFormat="1" applyFont="1" applyFill="1" applyBorder="1" applyAlignment="1" applyProtection="1">
      <alignment horizontal="center" vertical="center" wrapText="1"/>
      <protection locked="0"/>
    </xf>
    <xf numFmtId="166" fontId="3" fillId="3" borderId="49" xfId="1" applyNumberFormat="1" applyFont="1" applyFill="1" applyBorder="1" applyAlignment="1" applyProtection="1">
      <alignment horizontal="center" vertical="center" wrapText="1"/>
      <protection locked="0"/>
    </xf>
    <xf numFmtId="166" fontId="3" fillId="3" borderId="53" xfId="1" applyNumberFormat="1" applyFont="1" applyFill="1" applyBorder="1" applyAlignment="1" applyProtection="1">
      <alignment horizontal="left" vertical="center" wrapText="1"/>
      <protection locked="0"/>
    </xf>
    <xf numFmtId="6" fontId="17" fillId="0" borderId="47" xfId="0" applyNumberFormat="1" applyFont="1" applyBorder="1" applyAlignment="1" applyProtection="1">
      <alignment vertical="center"/>
      <protection locked="0"/>
    </xf>
    <xf numFmtId="6" fontId="17" fillId="5" borderId="52" xfId="0" applyNumberFormat="1" applyFont="1" applyFill="1" applyBorder="1" applyAlignment="1">
      <alignment vertical="center"/>
    </xf>
    <xf numFmtId="165" fontId="3" fillId="3" borderId="77" xfId="1" applyNumberFormat="1" applyFont="1" applyFill="1" applyBorder="1" applyAlignment="1" applyProtection="1">
      <alignment horizontal="center" vertical="center"/>
    </xf>
    <xf numFmtId="166" fontId="3" fillId="3" borderId="79" xfId="1" applyNumberFormat="1" applyFont="1" applyFill="1" applyBorder="1" applyAlignment="1" applyProtection="1">
      <alignment horizontal="left" vertical="center" wrapText="1"/>
      <protection locked="0"/>
    </xf>
    <xf numFmtId="166" fontId="3" fillId="3" borderId="49" xfId="1" applyNumberFormat="1" applyFont="1" applyFill="1" applyBorder="1" applyAlignment="1" applyProtection="1">
      <alignment horizontal="left" vertical="center" wrapText="1"/>
      <protection locked="0"/>
    </xf>
    <xf numFmtId="165" fontId="3" fillId="5" borderId="70" xfId="1" applyNumberFormat="1" applyFont="1" applyFill="1" applyBorder="1" applyAlignment="1" applyProtection="1">
      <alignment horizontal="center" vertical="center"/>
    </xf>
    <xf numFmtId="166" fontId="3" fillId="5" borderId="72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/>
    </xf>
    <xf numFmtId="166" fontId="3" fillId="0" borderId="23" xfId="1" applyNumberFormat="1" applyFont="1" applyBorder="1" applyAlignment="1" applyProtection="1">
      <alignment horizontal="left" vertical="center" wrapText="1"/>
      <protection locked="0"/>
    </xf>
    <xf numFmtId="166" fontId="3" fillId="3" borderId="43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165" fontId="3" fillId="3" borderId="51" xfId="1" applyNumberFormat="1" applyFont="1" applyFill="1" applyBorder="1" applyAlignment="1" applyProtection="1">
      <alignment horizontal="center" vertical="center"/>
    </xf>
    <xf numFmtId="8" fontId="17" fillId="0" borderId="47" xfId="0" applyNumberFormat="1" applyFont="1" applyBorder="1" applyAlignment="1" applyProtection="1">
      <alignment vertical="center"/>
      <protection locked="0"/>
    </xf>
    <xf numFmtId="165" fontId="18" fillId="0" borderId="11" xfId="0" applyNumberFormat="1" applyFont="1" applyBorder="1" applyAlignment="1" applyProtection="1">
      <alignment wrapText="1"/>
      <protection locked="0"/>
    </xf>
    <xf numFmtId="165" fontId="3" fillId="3" borderId="46" xfId="1" applyNumberFormat="1" applyFont="1" applyFill="1" applyBorder="1" applyAlignment="1" applyProtection="1">
      <alignment horizontal="center" vertical="center"/>
    </xf>
    <xf numFmtId="166" fontId="5" fillId="0" borderId="49" xfId="1" applyNumberFormat="1" applyFont="1" applyBorder="1" applyAlignment="1" applyProtection="1">
      <alignment horizontal="left" vertical="center" wrapText="1"/>
      <protection locked="0"/>
    </xf>
    <xf numFmtId="166" fontId="17" fillId="0" borderId="53" xfId="1" applyNumberFormat="1" applyFont="1" applyBorder="1" applyAlignment="1" applyProtection="1">
      <alignment horizontal="left" vertical="center" wrapText="1"/>
      <protection locked="0"/>
    </xf>
    <xf numFmtId="0" fontId="3" fillId="5" borderId="7" xfId="0" applyFont="1" applyFill="1" applyBorder="1" applyAlignment="1" applyProtection="1">
      <alignment vertical="center" wrapText="1"/>
      <protection locked="0"/>
    </xf>
    <xf numFmtId="165" fontId="4" fillId="5" borderId="70" xfId="1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14" borderId="90" xfId="0" applyFont="1" applyFill="1" applyBorder="1" applyAlignment="1">
      <alignment horizontal="center" vertical="center" wrapText="1"/>
    </xf>
    <xf numFmtId="6" fontId="4" fillId="0" borderId="98" xfId="0" applyNumberFormat="1" applyFont="1" applyBorder="1" applyAlignment="1" applyProtection="1">
      <alignment vertical="center"/>
      <protection locked="0"/>
    </xf>
    <xf numFmtId="9" fontId="4" fillId="14" borderId="9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3" fillId="0" borderId="99" xfId="0" applyFont="1" applyBorder="1" applyAlignment="1">
      <alignment horizontal="center" vertical="center" wrapText="1"/>
    </xf>
    <xf numFmtId="6" fontId="17" fillId="0" borderId="52" xfId="0" applyNumberFormat="1" applyFont="1" applyBorder="1" applyAlignment="1" applyProtection="1">
      <alignment vertical="center"/>
      <protection locked="0"/>
    </xf>
    <xf numFmtId="166" fontId="3" fillId="0" borderId="56" xfId="1" applyNumberFormat="1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6" fontId="17" fillId="0" borderId="67" xfId="0" applyNumberFormat="1" applyFont="1" applyBorder="1" applyAlignment="1" applyProtection="1">
      <alignment vertical="center"/>
      <protection locked="0"/>
    </xf>
    <xf numFmtId="5" fontId="19" fillId="0" borderId="82" xfId="0" applyNumberFormat="1" applyFont="1" applyBorder="1" applyAlignment="1" applyProtection="1">
      <alignment vertical="center"/>
      <protection locked="0"/>
    </xf>
    <xf numFmtId="5" fontId="17" fillId="0" borderId="82" xfId="0" applyNumberFormat="1" applyFont="1" applyBorder="1" applyAlignment="1" applyProtection="1">
      <alignment vertical="center"/>
      <protection locked="0"/>
    </xf>
    <xf numFmtId="5" fontId="17" fillId="0" borderId="81" xfId="0" applyNumberFormat="1" applyFont="1" applyBorder="1" applyAlignment="1" applyProtection="1">
      <alignment vertical="center"/>
      <protection locked="0"/>
    </xf>
    <xf numFmtId="166" fontId="20" fillId="0" borderId="53" xfId="1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>
      <alignment horizontal="left" wrapText="1"/>
    </xf>
    <xf numFmtId="167" fontId="0" fillId="0" borderId="0" xfId="0" applyNumberFormat="1"/>
    <xf numFmtId="0" fontId="1" fillId="10" borderId="0" xfId="0" applyFont="1" applyFill="1" applyAlignment="1">
      <alignment horizontal="left" wrapText="1"/>
    </xf>
    <xf numFmtId="0" fontId="0" fillId="10" borderId="0" xfId="0" applyFill="1"/>
    <xf numFmtId="167" fontId="0" fillId="10" borderId="0" xfId="0" applyNumberFormat="1" applyFill="1"/>
    <xf numFmtId="7" fontId="17" fillId="0" borderId="81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165" fontId="8" fillId="4" borderId="14" xfId="0" applyNumberFormat="1" applyFont="1" applyFill="1" applyBorder="1" applyAlignment="1">
      <alignment horizontal="center" wrapText="1"/>
    </xf>
    <xf numFmtId="165" fontId="8" fillId="4" borderId="15" xfId="0" applyNumberFormat="1" applyFont="1" applyFill="1" applyBorder="1" applyAlignment="1">
      <alignment horizontal="center" wrapText="1"/>
    </xf>
    <xf numFmtId="165" fontId="0" fillId="4" borderId="20" xfId="0" applyNumberFormat="1" applyFont="1" applyFill="1" applyBorder="1" applyAlignment="1">
      <alignment horizontal="center" wrapText="1"/>
    </xf>
    <xf numFmtId="165" fontId="0" fillId="4" borderId="21" xfId="0" applyNumberFormat="1" applyFont="1" applyFill="1" applyBorder="1" applyAlignment="1">
      <alignment horizontal="center" wrapText="1"/>
    </xf>
    <xf numFmtId="0" fontId="10" fillId="0" borderId="24" xfId="0" quotePrefix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27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vertical="center" wrapText="1"/>
    </xf>
    <xf numFmtId="0" fontId="9" fillId="0" borderId="27" xfId="0" quotePrefix="1" applyFont="1" applyBorder="1" applyAlignment="1">
      <alignment horizontal="center" vertical="center"/>
    </xf>
    <xf numFmtId="0" fontId="9" fillId="0" borderId="25" xfId="0" quotePrefix="1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9" fillId="0" borderId="23" xfId="0" quotePrefix="1" applyFont="1" applyBorder="1" applyAlignment="1">
      <alignment horizontal="center" vertical="center"/>
    </xf>
    <xf numFmtId="0" fontId="9" fillId="0" borderId="35" xfId="0" quotePrefix="1" applyFont="1" applyBorder="1" applyAlignment="1">
      <alignment horizontal="center" vertical="center"/>
    </xf>
    <xf numFmtId="0" fontId="9" fillId="0" borderId="36" xfId="0" quotePrefix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12" fillId="9" borderId="25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2" fillId="10" borderId="25" xfId="0" applyFont="1" applyFill="1" applyBorder="1" applyAlignment="1">
      <alignment horizontal="center" vertical="center"/>
    </xf>
    <xf numFmtId="0" fontId="12" fillId="10" borderId="31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2" fillId="6" borderId="32" xfId="0" quotePrefix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165" fontId="10" fillId="0" borderId="27" xfId="0" quotePrefix="1" applyNumberFormat="1" applyFont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35" xfId="0" applyNumberFormat="1" applyFont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2" fillId="6" borderId="23" xfId="0" quotePrefix="1" applyFont="1" applyFill="1" applyBorder="1" applyAlignment="1">
      <alignment horizontal="center" vertical="center" wrapText="1"/>
    </xf>
    <xf numFmtId="0" fontId="12" fillId="6" borderId="36" xfId="0" quotePrefix="1" applyFont="1" applyFill="1" applyBorder="1" applyAlignment="1">
      <alignment horizontal="center" vertical="center" wrapText="1"/>
    </xf>
  </cellXfs>
  <cellStyles count="7">
    <cellStyle name="Comma 2 2" xfId="5"/>
    <cellStyle name="Currency 2 2" xfId="6"/>
    <cellStyle name="Normal" xfId="0" builtinId="0"/>
    <cellStyle name="Normal 13" xfId="4"/>
    <cellStyle name="Normal 2 2" xfId="2"/>
    <cellStyle name="Normal 8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64" workbookViewId="0">
      <selection activeCell="E77" sqref="E77"/>
    </sheetView>
  </sheetViews>
  <sheetFormatPr defaultRowHeight="15"/>
  <cols>
    <col min="1" max="1" width="25.140625" customWidth="1"/>
    <col min="3" max="3" width="51" bestFit="1" customWidth="1"/>
    <col min="4" max="4" width="15" style="53" customWidth="1"/>
    <col min="5" max="5" width="14.28515625" bestFit="1" customWidth="1"/>
    <col min="6" max="6" width="11.140625" bestFit="1" customWidth="1"/>
    <col min="8" max="8" width="11.140625" bestFit="1" customWidth="1"/>
  </cols>
  <sheetData>
    <row r="1" spans="1:10">
      <c r="A1" s="320" t="s">
        <v>2</v>
      </c>
      <c r="B1" s="321"/>
      <c r="C1" s="321"/>
      <c r="D1" s="50"/>
      <c r="E1" s="4"/>
    </row>
    <row r="2" spans="1:10">
      <c r="A2" s="322" t="s">
        <v>3</v>
      </c>
      <c r="B2" s="323"/>
      <c r="C2" s="323"/>
      <c r="D2" s="50" t="s">
        <v>0</v>
      </c>
      <c r="E2" s="5"/>
    </row>
    <row r="3" spans="1:10">
      <c r="A3" s="6"/>
      <c r="B3" s="7"/>
      <c r="C3" s="7" t="s">
        <v>4</v>
      </c>
      <c r="D3" s="51"/>
      <c r="E3" s="8"/>
      <c r="G3" s="1"/>
      <c r="H3" s="3"/>
    </row>
    <row r="4" spans="1:10">
      <c r="A4" s="9"/>
      <c r="B4" s="10"/>
      <c r="C4" s="11" t="s">
        <v>5</v>
      </c>
      <c r="D4" s="52">
        <v>111</v>
      </c>
      <c r="E4" s="43">
        <v>119859</v>
      </c>
      <c r="F4" s="314"/>
      <c r="G4" s="2"/>
      <c r="H4" s="1"/>
      <c r="J4" s="315"/>
    </row>
    <row r="5" spans="1:10">
      <c r="A5" s="9"/>
      <c r="B5" s="12"/>
      <c r="C5" s="11" t="s">
        <v>6</v>
      </c>
      <c r="D5" s="13">
        <v>111</v>
      </c>
      <c r="E5" s="44">
        <v>97542</v>
      </c>
      <c r="F5" s="314"/>
      <c r="G5" s="2"/>
      <c r="H5" s="1"/>
      <c r="J5" s="315"/>
    </row>
    <row r="6" spans="1:10">
      <c r="A6" s="9"/>
      <c r="B6" s="12"/>
      <c r="C6" s="11" t="s">
        <v>7</v>
      </c>
      <c r="D6" s="13">
        <v>111</v>
      </c>
      <c r="E6" s="44">
        <v>106978</v>
      </c>
      <c r="F6" s="314"/>
      <c r="G6" s="2"/>
      <c r="H6" s="1"/>
      <c r="J6" s="315"/>
    </row>
    <row r="7" spans="1:10">
      <c r="A7" s="9"/>
      <c r="B7" s="12"/>
      <c r="C7" s="11" t="s">
        <v>9</v>
      </c>
      <c r="D7" s="13">
        <v>111</v>
      </c>
      <c r="E7" s="44">
        <v>80300</v>
      </c>
      <c r="F7" s="314"/>
      <c r="G7" s="2"/>
      <c r="H7" s="1"/>
      <c r="J7" s="315"/>
    </row>
    <row r="8" spans="1:10">
      <c r="A8" s="9"/>
      <c r="B8" s="12"/>
      <c r="C8" s="11" t="s">
        <v>87</v>
      </c>
      <c r="D8" s="13">
        <v>111</v>
      </c>
      <c r="E8" s="44">
        <v>102942</v>
      </c>
      <c r="F8" s="314"/>
      <c r="G8" s="2"/>
      <c r="H8" s="1"/>
      <c r="J8" s="315"/>
    </row>
    <row r="9" spans="1:10">
      <c r="A9" s="9"/>
      <c r="B9" s="12"/>
      <c r="C9" s="11" t="s">
        <v>88</v>
      </c>
      <c r="D9" s="13">
        <v>111</v>
      </c>
      <c r="E9" s="44">
        <v>93949</v>
      </c>
      <c r="F9" s="314"/>
      <c r="G9" s="2"/>
      <c r="J9" s="315"/>
    </row>
    <row r="10" spans="1:10">
      <c r="A10" s="9"/>
      <c r="B10" s="14"/>
      <c r="C10" s="11" t="s">
        <v>8</v>
      </c>
      <c r="D10" s="13">
        <v>111</v>
      </c>
      <c r="E10" s="44">
        <v>92288</v>
      </c>
      <c r="F10" s="314"/>
      <c r="G10" s="2"/>
      <c r="J10" s="315"/>
    </row>
    <row r="11" spans="1:10">
      <c r="A11" s="15"/>
      <c r="B11" s="15"/>
      <c r="C11" s="16" t="s">
        <v>12</v>
      </c>
      <c r="D11" s="17" t="s">
        <v>13</v>
      </c>
      <c r="E11" s="45">
        <f>SUM(E4:E10)</f>
        <v>693858</v>
      </c>
    </row>
    <row r="12" spans="1:10">
      <c r="A12" s="6" t="s">
        <v>14</v>
      </c>
      <c r="B12" s="18"/>
      <c r="C12" s="6"/>
      <c r="D12" s="19"/>
      <c r="E12" s="46"/>
    </row>
    <row r="13" spans="1:10">
      <c r="A13" s="20"/>
      <c r="B13" s="20" t="s">
        <v>15</v>
      </c>
      <c r="C13" s="20"/>
      <c r="D13" s="21">
        <v>210</v>
      </c>
      <c r="E13" s="44">
        <f>(795*0.8)*7*12</f>
        <v>53424</v>
      </c>
    </row>
    <row r="14" spans="1:10">
      <c r="A14" s="14"/>
      <c r="B14" s="14" t="s">
        <v>16</v>
      </c>
      <c r="C14" s="14"/>
      <c r="D14" s="13">
        <v>220</v>
      </c>
      <c r="E14" s="22">
        <f>E11*0.062</f>
        <v>43019.195999999996</v>
      </c>
    </row>
    <row r="15" spans="1:10">
      <c r="A15" s="14"/>
      <c r="B15" s="14" t="s">
        <v>17</v>
      </c>
      <c r="C15" s="14"/>
      <c r="D15" s="13">
        <v>225</v>
      </c>
      <c r="E15" s="22">
        <f>E11*0.0145</f>
        <v>10060.941000000001</v>
      </c>
    </row>
    <row r="16" spans="1:10">
      <c r="A16" s="14"/>
      <c r="B16" s="14" t="s">
        <v>18</v>
      </c>
      <c r="C16" s="14"/>
      <c r="D16" s="13" t="s">
        <v>19</v>
      </c>
      <c r="E16" s="22">
        <f>E11*0.08</f>
        <v>55508.639999999999</v>
      </c>
    </row>
    <row r="17" spans="1:5">
      <c r="A17" s="14"/>
      <c r="B17" s="14" t="s">
        <v>20</v>
      </c>
      <c r="C17" s="14"/>
      <c r="D17" s="13">
        <v>250</v>
      </c>
      <c r="E17" s="22">
        <f>E11*0.003</f>
        <v>2081.5740000000001</v>
      </c>
    </row>
    <row r="18" spans="1:5">
      <c r="A18" s="14"/>
      <c r="B18" s="14"/>
      <c r="C18" s="14" t="s">
        <v>21</v>
      </c>
      <c r="D18" s="13">
        <v>260</v>
      </c>
      <c r="E18" s="22">
        <f>E11*0.0045</f>
        <v>3122.3609999999999</v>
      </c>
    </row>
    <row r="19" spans="1:5">
      <c r="A19" s="14"/>
      <c r="B19" s="12" t="s">
        <v>22</v>
      </c>
      <c r="C19" s="14" t="s">
        <v>23</v>
      </c>
      <c r="D19" s="13"/>
      <c r="E19" s="44"/>
    </row>
    <row r="20" spans="1:5">
      <c r="A20" s="14"/>
      <c r="B20" s="12" t="s">
        <v>24</v>
      </c>
      <c r="C20" s="14"/>
      <c r="D20" s="13" t="s">
        <v>25</v>
      </c>
      <c r="E20" s="44">
        <v>8250</v>
      </c>
    </row>
    <row r="21" spans="1:5">
      <c r="A21" s="23"/>
      <c r="B21" s="23"/>
      <c r="C21" s="24" t="s">
        <v>26</v>
      </c>
      <c r="D21" s="25" t="s">
        <v>27</v>
      </c>
      <c r="E21" s="47">
        <f>SUM(E13:E20)</f>
        <v>175466.712</v>
      </c>
    </row>
    <row r="22" spans="1:5">
      <c r="A22" s="6" t="s">
        <v>28</v>
      </c>
      <c r="B22" s="18"/>
      <c r="C22" s="6"/>
      <c r="D22" s="19"/>
      <c r="E22" s="46"/>
    </row>
    <row r="23" spans="1:5">
      <c r="A23" s="20"/>
      <c r="B23" s="20" t="s">
        <v>29</v>
      </c>
      <c r="C23" s="20"/>
      <c r="D23" s="21">
        <v>332</v>
      </c>
      <c r="E23" s="44">
        <f>1500*12</f>
        <v>18000</v>
      </c>
    </row>
    <row r="24" spans="1:5">
      <c r="A24" s="14"/>
      <c r="B24" s="11" t="s">
        <v>258</v>
      </c>
      <c r="C24" s="14"/>
      <c r="D24" s="13">
        <v>333</v>
      </c>
      <c r="E24" s="44">
        <f>24250+(539*4)</f>
        <v>26406</v>
      </c>
    </row>
    <row r="25" spans="1:5">
      <c r="A25" s="14"/>
      <c r="B25" s="11" t="s">
        <v>30</v>
      </c>
      <c r="C25" s="14"/>
      <c r="D25" s="13" t="s">
        <v>31</v>
      </c>
      <c r="E25" s="44">
        <v>1500</v>
      </c>
    </row>
    <row r="26" spans="1:5">
      <c r="A26" s="14"/>
      <c r="B26" s="324" t="s">
        <v>32</v>
      </c>
      <c r="C26" s="325"/>
      <c r="D26" s="13" t="s">
        <v>31</v>
      </c>
      <c r="E26" s="44">
        <f>(3150+4550+3000+13500+83513+3000)*1.25</f>
        <v>138391.25</v>
      </c>
    </row>
    <row r="27" spans="1:5">
      <c r="A27" s="15"/>
      <c r="B27" s="15"/>
      <c r="C27" s="16" t="s">
        <v>33</v>
      </c>
      <c r="D27" s="17" t="s">
        <v>34</v>
      </c>
      <c r="E27" s="45">
        <f>SUM(E23:E26)</f>
        <v>184297.25</v>
      </c>
    </row>
    <row r="28" spans="1:5">
      <c r="A28" s="6" t="s">
        <v>35</v>
      </c>
      <c r="B28" s="6"/>
      <c r="C28" s="6"/>
      <c r="D28" s="19"/>
      <c r="E28" s="46"/>
    </row>
    <row r="29" spans="1:5">
      <c r="A29" s="26"/>
      <c r="B29" s="20" t="s">
        <v>36</v>
      </c>
      <c r="C29" s="20"/>
      <c r="D29" s="21">
        <v>411</v>
      </c>
      <c r="E29" s="44"/>
    </row>
    <row r="30" spans="1:5">
      <c r="A30" s="27"/>
      <c r="B30" s="28" t="s">
        <v>37</v>
      </c>
      <c r="C30" s="14"/>
      <c r="D30" s="13">
        <v>441</v>
      </c>
      <c r="E30" s="44"/>
    </row>
    <row r="31" spans="1:5">
      <c r="A31" s="27"/>
      <c r="B31" s="14" t="s">
        <v>38</v>
      </c>
      <c r="C31" s="14"/>
      <c r="D31" s="13">
        <v>442</v>
      </c>
      <c r="E31" s="44">
        <v>500</v>
      </c>
    </row>
    <row r="32" spans="1:5">
      <c r="A32" s="27"/>
      <c r="B32" s="14" t="s">
        <v>39</v>
      </c>
      <c r="C32" s="14"/>
      <c r="D32" s="13">
        <v>430</v>
      </c>
      <c r="E32" s="44"/>
    </row>
    <row r="33" spans="1:5">
      <c r="A33" s="14"/>
      <c r="B33" s="12" t="s">
        <v>40</v>
      </c>
      <c r="C33" s="14"/>
      <c r="D33" s="29" t="s">
        <v>41</v>
      </c>
      <c r="E33" s="48"/>
    </row>
    <row r="34" spans="1:5" ht="15.75" thickBot="1">
      <c r="A34" s="30"/>
      <c r="B34" s="30" t="s">
        <v>42</v>
      </c>
      <c r="C34" s="31"/>
      <c r="D34" s="32">
        <v>400</v>
      </c>
      <c r="E34" s="45">
        <f>SUM(E29:E33)</f>
        <v>500</v>
      </c>
    </row>
    <row r="35" spans="1:5" ht="15.75" thickTop="1">
      <c r="A35" s="33" t="s">
        <v>43</v>
      </c>
      <c r="B35" s="33"/>
      <c r="C35" s="33"/>
      <c r="D35" s="34"/>
      <c r="E35" s="46"/>
    </row>
    <row r="36" spans="1:5">
      <c r="A36" s="26"/>
      <c r="B36" s="10" t="s">
        <v>44</v>
      </c>
      <c r="C36" s="20"/>
      <c r="D36" s="21" t="s">
        <v>45</v>
      </c>
      <c r="E36" s="44"/>
    </row>
    <row r="37" spans="1:5">
      <c r="A37" s="27"/>
      <c r="B37" s="14" t="s">
        <v>46</v>
      </c>
      <c r="C37" s="14"/>
      <c r="D37" s="13" t="s">
        <v>47</v>
      </c>
      <c r="E37" s="44">
        <f>(39586*1.1)</f>
        <v>43544.600000000006</v>
      </c>
    </row>
    <row r="38" spans="1:5">
      <c r="A38" s="14"/>
      <c r="B38" s="324" t="s">
        <v>48</v>
      </c>
      <c r="C38" s="325"/>
      <c r="D38" s="29">
        <v>530</v>
      </c>
      <c r="E38" s="48">
        <v>13500</v>
      </c>
    </row>
    <row r="39" spans="1:5">
      <c r="A39" s="14"/>
      <c r="B39" s="326" t="s">
        <v>49</v>
      </c>
      <c r="C39" s="327"/>
      <c r="D39" s="13" t="s">
        <v>50</v>
      </c>
      <c r="E39" s="44">
        <v>8500</v>
      </c>
    </row>
    <row r="40" spans="1:5">
      <c r="A40" s="14"/>
      <c r="B40" s="14" t="s">
        <v>51</v>
      </c>
      <c r="C40" s="14"/>
      <c r="D40" s="13">
        <v>550</v>
      </c>
      <c r="E40" s="44">
        <v>1500</v>
      </c>
    </row>
    <row r="41" spans="1:5">
      <c r="A41" s="14"/>
      <c r="B41" s="12"/>
      <c r="C41" s="11" t="s">
        <v>52</v>
      </c>
      <c r="D41" s="13" t="s">
        <v>53</v>
      </c>
      <c r="E41" s="44">
        <v>7500</v>
      </c>
    </row>
    <row r="42" spans="1:5">
      <c r="A42" s="15"/>
      <c r="B42" s="15" t="s">
        <v>54</v>
      </c>
      <c r="C42" s="35"/>
      <c r="D42" s="17">
        <v>500</v>
      </c>
      <c r="E42" s="45">
        <f>SUM(E36:E41)</f>
        <v>74544.600000000006</v>
      </c>
    </row>
    <row r="43" spans="1:5">
      <c r="A43" s="6" t="s">
        <v>55</v>
      </c>
      <c r="B43" s="6"/>
      <c r="C43" s="6"/>
      <c r="D43" s="19"/>
      <c r="E43" s="46"/>
    </row>
    <row r="44" spans="1:5">
      <c r="A44" s="26"/>
      <c r="B44" s="36" t="s">
        <v>56</v>
      </c>
      <c r="C44" s="20"/>
      <c r="D44" s="21">
        <v>610</v>
      </c>
      <c r="E44" s="44">
        <v>6500</v>
      </c>
    </row>
    <row r="45" spans="1:5">
      <c r="A45" s="27"/>
      <c r="B45" s="28" t="s">
        <v>57</v>
      </c>
      <c r="C45" s="14"/>
      <c r="D45" s="13" t="s">
        <v>58</v>
      </c>
      <c r="E45" s="44"/>
    </row>
    <row r="46" spans="1:5">
      <c r="A46" s="27"/>
      <c r="B46" s="28" t="s">
        <v>59</v>
      </c>
      <c r="C46" s="14"/>
      <c r="D46" s="13" t="s">
        <v>60</v>
      </c>
      <c r="E46" s="44"/>
    </row>
    <row r="47" spans="1:5">
      <c r="A47" s="27"/>
      <c r="B47" s="14" t="s">
        <v>61</v>
      </c>
      <c r="C47" s="14"/>
      <c r="D47" s="13" t="s">
        <v>62</v>
      </c>
      <c r="E47" s="44"/>
    </row>
    <row r="48" spans="1:5">
      <c r="A48" s="27"/>
      <c r="B48" s="12" t="s">
        <v>63</v>
      </c>
      <c r="C48" s="14"/>
      <c r="D48" s="13">
        <v>615</v>
      </c>
      <c r="E48" s="44">
        <v>1250</v>
      </c>
    </row>
    <row r="49" spans="1:5">
      <c r="A49" s="15"/>
      <c r="B49" s="15" t="s">
        <v>64</v>
      </c>
      <c r="C49" s="35"/>
      <c r="D49" s="17">
        <v>600</v>
      </c>
      <c r="E49" s="45">
        <f>SUM(E44:E48)</f>
        <v>7750</v>
      </c>
    </row>
    <row r="50" spans="1:5">
      <c r="A50" s="6" t="s">
        <v>65</v>
      </c>
      <c r="B50" s="6"/>
      <c r="C50" s="6"/>
      <c r="D50" s="19"/>
      <c r="E50" s="46"/>
    </row>
    <row r="51" spans="1:5">
      <c r="A51" s="26"/>
      <c r="B51" s="10" t="s">
        <v>66</v>
      </c>
      <c r="C51" s="20"/>
      <c r="D51" s="21">
        <v>710</v>
      </c>
      <c r="E51" s="44"/>
    </row>
    <row r="52" spans="1:5">
      <c r="A52" s="27"/>
      <c r="B52" s="12" t="s">
        <v>67</v>
      </c>
      <c r="C52" s="14"/>
      <c r="D52" s="13">
        <v>720</v>
      </c>
      <c r="E52" s="44"/>
    </row>
    <row r="53" spans="1:5">
      <c r="A53" s="27"/>
      <c r="B53" s="28" t="s">
        <v>68</v>
      </c>
      <c r="C53" s="14"/>
      <c r="D53" s="13" t="s">
        <v>69</v>
      </c>
      <c r="E53" s="44"/>
    </row>
    <row r="54" spans="1:5">
      <c r="A54" s="14"/>
      <c r="B54" s="28" t="s">
        <v>70</v>
      </c>
      <c r="C54" s="14"/>
      <c r="D54" s="13" t="s">
        <v>71</v>
      </c>
      <c r="E54" s="44"/>
    </row>
    <row r="55" spans="1:5">
      <c r="A55" s="15"/>
      <c r="B55" s="15" t="s">
        <v>72</v>
      </c>
      <c r="C55" s="35"/>
      <c r="D55" s="17">
        <v>700</v>
      </c>
      <c r="E55" s="45"/>
    </row>
    <row r="56" spans="1:5">
      <c r="A56" s="6" t="s">
        <v>73</v>
      </c>
      <c r="B56" s="6"/>
      <c r="C56" s="6"/>
      <c r="D56" s="19"/>
      <c r="E56" s="46"/>
    </row>
    <row r="57" spans="1:5">
      <c r="A57" s="26"/>
      <c r="B57" s="11" t="s">
        <v>74</v>
      </c>
      <c r="C57" s="20"/>
      <c r="D57" s="21">
        <v>810</v>
      </c>
      <c r="E57" s="44">
        <v>3500</v>
      </c>
    </row>
    <row r="58" spans="1:5">
      <c r="A58" s="26"/>
      <c r="B58" s="10" t="s">
        <v>75</v>
      </c>
      <c r="C58" s="20"/>
      <c r="D58" s="21">
        <v>830</v>
      </c>
      <c r="E58" s="44"/>
    </row>
    <row r="59" spans="1:5">
      <c r="A59" s="26"/>
      <c r="B59" s="10" t="s">
        <v>76</v>
      </c>
      <c r="C59" s="20"/>
      <c r="D59" s="21">
        <v>831</v>
      </c>
      <c r="E59" s="44"/>
    </row>
    <row r="60" spans="1:5">
      <c r="A60" s="27"/>
      <c r="B60" s="37"/>
      <c r="C60" s="12" t="s">
        <v>77</v>
      </c>
      <c r="D60" s="13" t="s">
        <v>78</v>
      </c>
      <c r="E60" s="44"/>
    </row>
    <row r="61" spans="1:5">
      <c r="A61" s="15"/>
      <c r="B61" s="15" t="s">
        <v>79</v>
      </c>
      <c r="C61" s="35"/>
      <c r="D61" s="17">
        <v>800</v>
      </c>
      <c r="E61" s="45">
        <f>SUM(E57:E60)</f>
        <v>3500</v>
      </c>
    </row>
    <row r="62" spans="1:5">
      <c r="A62" s="6" t="s">
        <v>80</v>
      </c>
      <c r="B62" s="6"/>
      <c r="C62" s="6"/>
      <c r="D62" s="19"/>
      <c r="E62" s="46"/>
    </row>
    <row r="63" spans="1:5">
      <c r="A63" s="27"/>
      <c r="B63" s="14" t="s">
        <v>1</v>
      </c>
      <c r="C63" s="14"/>
      <c r="D63" s="13">
        <v>933</v>
      </c>
      <c r="E63" s="44"/>
    </row>
    <row r="64" spans="1:5">
      <c r="A64" s="27"/>
      <c r="B64" s="14"/>
      <c r="C64" s="14" t="s">
        <v>81</v>
      </c>
      <c r="D64" s="13" t="s">
        <v>82</v>
      </c>
      <c r="E64" s="44"/>
    </row>
    <row r="65" spans="1:8">
      <c r="A65" s="14"/>
      <c r="B65" s="28"/>
      <c r="C65" s="14" t="s">
        <v>83</v>
      </c>
      <c r="D65" s="13"/>
      <c r="E65" s="44"/>
    </row>
    <row r="66" spans="1:8">
      <c r="A66" s="15"/>
      <c r="B66" s="15" t="s">
        <v>84</v>
      </c>
      <c r="C66" s="35"/>
      <c r="D66" s="38">
        <v>900</v>
      </c>
      <c r="E66" s="49"/>
    </row>
    <row r="67" spans="1:8" ht="15.75" thickBot="1">
      <c r="A67" s="39"/>
      <c r="B67" s="39"/>
      <c r="C67" s="40" t="s">
        <v>85</v>
      </c>
      <c r="D67" s="41" t="s">
        <v>86</v>
      </c>
      <c r="E67" s="42">
        <f>E11+E21+E27+E34+E42+E49+E55+E61+E66</f>
        <v>1139916.5620000002</v>
      </c>
    </row>
    <row r="68" spans="1:8" ht="15.75" thickTop="1"/>
    <row r="69" spans="1:8">
      <c r="F69" s="3">
        <f>E67/E73</f>
        <v>3485.9833700305817</v>
      </c>
    </row>
    <row r="70" spans="1:8">
      <c r="D70" s="53" t="s">
        <v>217</v>
      </c>
      <c r="E70">
        <v>145</v>
      </c>
      <c r="F70" s="3">
        <f>F69*E70</f>
        <v>505467.58865443437</v>
      </c>
      <c r="G70">
        <v>0.45</v>
      </c>
      <c r="H70" s="3">
        <f>E67*G70</f>
        <v>512962.45290000009</v>
      </c>
    </row>
    <row r="71" spans="1:8">
      <c r="D71" s="53" t="s">
        <v>218</v>
      </c>
      <c r="E71">
        <v>67</v>
      </c>
      <c r="F71" s="3">
        <f>F69*E71</f>
        <v>233560.88579204897</v>
      </c>
      <c r="G71">
        <v>0.15</v>
      </c>
      <c r="H71" s="3">
        <f>G71*E67</f>
        <v>170987.48430000001</v>
      </c>
    </row>
    <row r="72" spans="1:8">
      <c r="D72" s="53">
        <v>26</v>
      </c>
      <c r="E72">
        <v>115</v>
      </c>
      <c r="F72" s="3">
        <f>E72*F69</f>
        <v>400888.0875535169</v>
      </c>
      <c r="G72">
        <v>0.4</v>
      </c>
      <c r="H72" s="3">
        <f>E67*G72</f>
        <v>455966.62480000011</v>
      </c>
    </row>
    <row r="73" spans="1:8">
      <c r="E73">
        <f>SUM(E70:E72)</f>
        <v>327</v>
      </c>
    </row>
  </sheetData>
  <mergeCells count="5">
    <mergeCell ref="A1:C1"/>
    <mergeCell ref="A2:C2"/>
    <mergeCell ref="B26:C26"/>
    <mergeCell ref="B38:C38"/>
    <mergeCell ref="B39:C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opLeftCell="B1" workbookViewId="0">
      <selection activeCell="L94" sqref="L94"/>
    </sheetView>
  </sheetViews>
  <sheetFormatPr defaultColWidth="14" defaultRowHeight="15"/>
  <cols>
    <col min="1" max="1" width="4" customWidth="1"/>
    <col min="2" max="2" width="2.42578125" customWidth="1"/>
    <col min="3" max="3" width="3.140625" customWidth="1"/>
    <col min="4" max="4" width="49.7109375" customWidth="1"/>
    <col min="5" max="5" width="11.7109375" customWidth="1"/>
    <col min="6" max="6" width="16.140625" bestFit="1" customWidth="1"/>
    <col min="7" max="7" width="12" customWidth="1"/>
    <col min="8" max="8" width="12" bestFit="1" customWidth="1"/>
    <col min="9" max="9" width="8.42578125" hidden="1" customWidth="1"/>
    <col min="10" max="10" width="22.28515625" hidden="1" customWidth="1"/>
    <col min="11" max="11" width="48.5703125" customWidth="1"/>
  </cols>
  <sheetData>
    <row r="1" spans="1:11" ht="29.25" customHeight="1" thickBot="1">
      <c r="A1" s="54"/>
      <c r="B1" s="54"/>
      <c r="C1" s="54"/>
      <c r="D1" s="54"/>
      <c r="E1" s="54"/>
      <c r="F1" s="54"/>
      <c r="G1" s="54"/>
      <c r="H1" s="54"/>
      <c r="I1" s="54"/>
      <c r="J1" s="54"/>
      <c r="K1" s="55" t="s">
        <v>89</v>
      </c>
    </row>
    <row r="2" spans="1:11" ht="19.899999999999999" customHeight="1" thickTop="1" thickBot="1">
      <c r="A2" s="56"/>
      <c r="B2" s="57"/>
      <c r="C2" s="57"/>
      <c r="D2" s="57"/>
      <c r="E2" s="57"/>
      <c r="F2" s="57"/>
      <c r="G2" s="57"/>
      <c r="H2" s="54"/>
      <c r="I2" s="54"/>
      <c r="J2" s="58" t="s">
        <v>90</v>
      </c>
      <c r="K2" s="59">
        <v>67</v>
      </c>
    </row>
    <row r="3" spans="1:11" ht="19.899999999999999" customHeight="1" thickTop="1" thickBot="1">
      <c r="A3" s="56"/>
      <c r="B3" s="57"/>
      <c r="C3" s="57"/>
      <c r="D3" s="57"/>
      <c r="E3" s="57"/>
      <c r="F3" s="57"/>
      <c r="G3" s="57"/>
      <c r="H3" s="54"/>
      <c r="I3" s="54"/>
      <c r="J3" s="60" t="s">
        <v>91</v>
      </c>
      <c r="K3" s="59"/>
    </row>
    <row r="4" spans="1:11" ht="30" customHeight="1" thickTop="1" thickBot="1">
      <c r="A4" s="338" t="s">
        <v>92</v>
      </c>
      <c r="B4" s="339"/>
      <c r="C4" s="340"/>
      <c r="D4" s="61" t="s">
        <v>93</v>
      </c>
      <c r="E4" s="54"/>
      <c r="F4" s="54"/>
      <c r="G4" s="62"/>
      <c r="H4" s="54"/>
      <c r="I4" s="54"/>
      <c r="J4" s="63"/>
      <c r="K4" s="64"/>
    </row>
    <row r="5" spans="1:11" ht="22.5" customHeight="1" thickTop="1">
      <c r="A5" s="65"/>
      <c r="B5" s="341" t="s">
        <v>94</v>
      </c>
      <c r="C5" s="341"/>
      <c r="D5" s="342"/>
      <c r="E5" s="347" t="s">
        <v>95</v>
      </c>
      <c r="F5" s="349" t="s">
        <v>96</v>
      </c>
      <c r="G5" s="351" t="s">
        <v>97</v>
      </c>
      <c r="H5" s="353"/>
      <c r="I5" s="54"/>
      <c r="J5" s="66"/>
      <c r="K5" s="64"/>
    </row>
    <row r="6" spans="1:11" ht="10.15" customHeight="1" thickBot="1">
      <c r="A6" s="67"/>
      <c r="B6" s="343"/>
      <c r="C6" s="343"/>
      <c r="D6" s="344"/>
      <c r="E6" s="348"/>
      <c r="F6" s="350"/>
      <c r="G6" s="352"/>
      <c r="H6" s="354"/>
      <c r="I6" s="54"/>
      <c r="J6" s="54"/>
      <c r="K6" s="54"/>
    </row>
    <row r="7" spans="1:11" ht="16.5" customHeight="1" thickTop="1">
      <c r="A7" s="67"/>
      <c r="B7" s="343"/>
      <c r="C7" s="343"/>
      <c r="D7" s="344"/>
      <c r="E7" s="355" t="s">
        <v>98</v>
      </c>
      <c r="F7" s="358"/>
      <c r="G7" s="358"/>
      <c r="H7" s="358"/>
      <c r="I7" s="328" t="s">
        <v>99</v>
      </c>
      <c r="J7" s="331" t="s">
        <v>100</v>
      </c>
      <c r="K7" s="328" t="s">
        <v>101</v>
      </c>
    </row>
    <row r="8" spans="1:11" ht="15" customHeight="1">
      <c r="A8" s="67"/>
      <c r="B8" s="343"/>
      <c r="C8" s="343"/>
      <c r="D8" s="344"/>
      <c r="E8" s="356"/>
      <c r="F8" s="359"/>
      <c r="G8" s="359"/>
      <c r="H8" s="359"/>
      <c r="I8" s="329"/>
      <c r="J8" s="332"/>
      <c r="K8" s="329"/>
    </row>
    <row r="9" spans="1:11" ht="25.5" customHeight="1" thickBot="1">
      <c r="A9" s="68"/>
      <c r="B9" s="345"/>
      <c r="C9" s="345"/>
      <c r="D9" s="346"/>
      <c r="E9" s="357"/>
      <c r="F9" s="360"/>
      <c r="G9" s="360"/>
      <c r="H9" s="360"/>
      <c r="I9" s="330"/>
      <c r="J9" s="333"/>
      <c r="K9" s="330"/>
    </row>
    <row r="10" spans="1:11" ht="25.5" customHeight="1" thickTop="1">
      <c r="A10" s="69">
        <v>1</v>
      </c>
      <c r="B10" s="334" t="s">
        <v>2</v>
      </c>
      <c r="C10" s="335"/>
      <c r="D10" s="335"/>
      <c r="E10" s="70"/>
      <c r="F10" s="71"/>
      <c r="G10" s="71"/>
      <c r="H10" s="70"/>
      <c r="I10" s="70"/>
      <c r="J10" s="70"/>
      <c r="K10" s="72"/>
    </row>
    <row r="11" spans="1:11" ht="18" customHeight="1">
      <c r="A11" s="73">
        <f>A10+1</f>
        <v>2</v>
      </c>
      <c r="B11" s="7" t="s">
        <v>102</v>
      </c>
      <c r="C11" s="7"/>
      <c r="D11" s="7"/>
      <c r="E11" s="74"/>
      <c r="F11" s="75"/>
      <c r="G11" s="75"/>
      <c r="H11" s="76"/>
      <c r="I11" s="77"/>
      <c r="J11" s="77"/>
      <c r="K11" s="78"/>
    </row>
    <row r="12" spans="1:11">
      <c r="A12" s="79">
        <f>A11+1</f>
        <v>3</v>
      </c>
      <c r="B12" s="80"/>
      <c r="C12" s="20" t="s">
        <v>103</v>
      </c>
      <c r="D12" s="20"/>
      <c r="E12" s="81" t="s">
        <v>104</v>
      </c>
      <c r="F12" s="82"/>
      <c r="G12" s="82"/>
      <c r="H12" s="83">
        <f t="shared" ref="H12:H21" si="0">G12+F12</f>
        <v>0</v>
      </c>
      <c r="I12" s="84">
        <f t="shared" ref="I12:I21" si="1">H12/$H$83</f>
        <v>0</v>
      </c>
      <c r="J12" s="84" t="str">
        <f>IFERROR(#REF!/H12,"")</f>
        <v/>
      </c>
      <c r="K12" s="85"/>
    </row>
    <row r="13" spans="1:11">
      <c r="A13" s="79">
        <f t="shared" ref="A13:A76" si="2">A12+1</f>
        <v>4</v>
      </c>
      <c r="B13" s="86"/>
      <c r="C13" s="14" t="s">
        <v>105</v>
      </c>
      <c r="D13" s="14"/>
      <c r="E13" s="87" t="s">
        <v>106</v>
      </c>
      <c r="F13" s="88"/>
      <c r="G13" s="89"/>
      <c r="H13" s="90">
        <f t="shared" si="0"/>
        <v>0</v>
      </c>
      <c r="I13" s="91">
        <f t="shared" si="1"/>
        <v>0</v>
      </c>
      <c r="J13" s="91" t="str">
        <f>IFERROR(#REF!/H13,"")</f>
        <v/>
      </c>
      <c r="K13" s="92"/>
    </row>
    <row r="14" spans="1:11">
      <c r="A14" s="79">
        <f t="shared" si="2"/>
        <v>5</v>
      </c>
      <c r="B14" s="86"/>
      <c r="C14" s="14" t="s">
        <v>107</v>
      </c>
      <c r="D14" s="14"/>
      <c r="E14" s="87">
        <v>1920</v>
      </c>
      <c r="F14" s="89"/>
      <c r="G14" s="89"/>
      <c r="H14" s="90">
        <f t="shared" si="0"/>
        <v>0</v>
      </c>
      <c r="I14" s="91">
        <f t="shared" si="1"/>
        <v>0</v>
      </c>
      <c r="J14" s="91" t="str">
        <f>IFERROR(#REF!/H14,"")</f>
        <v/>
      </c>
      <c r="K14" s="93"/>
    </row>
    <row r="15" spans="1:11">
      <c r="A15" s="79">
        <f t="shared" si="2"/>
        <v>6</v>
      </c>
      <c r="B15" s="86"/>
      <c r="C15" s="14" t="s">
        <v>108</v>
      </c>
      <c r="D15" s="14"/>
      <c r="E15" s="87">
        <v>1993</v>
      </c>
      <c r="F15" s="89"/>
      <c r="G15" s="89"/>
      <c r="H15" s="90">
        <f t="shared" si="0"/>
        <v>0</v>
      </c>
      <c r="I15" s="91">
        <f t="shared" si="1"/>
        <v>0</v>
      </c>
      <c r="J15" s="91" t="str">
        <f>IFERROR(#REF!/H15,"")</f>
        <v/>
      </c>
      <c r="K15" s="94"/>
    </row>
    <row r="16" spans="1:11">
      <c r="A16" s="79">
        <f t="shared" si="2"/>
        <v>7</v>
      </c>
      <c r="B16" s="86"/>
      <c r="C16" s="14" t="s">
        <v>109</v>
      </c>
      <c r="D16" s="14"/>
      <c r="E16" s="87">
        <v>1994</v>
      </c>
      <c r="F16" s="89">
        <v>471949</v>
      </c>
      <c r="G16" s="95"/>
      <c r="H16" s="90">
        <f t="shared" si="0"/>
        <v>471949</v>
      </c>
      <c r="I16" s="91">
        <f t="shared" si="1"/>
        <v>0.50333280719417095</v>
      </c>
      <c r="J16" s="91" t="str">
        <f>IFERROR(#REF!/H16,"")</f>
        <v/>
      </c>
      <c r="K16" s="96"/>
    </row>
    <row r="17" spans="1:11">
      <c r="A17" s="79">
        <f t="shared" si="2"/>
        <v>8</v>
      </c>
      <c r="B17" s="86"/>
      <c r="C17" s="14" t="s">
        <v>110</v>
      </c>
      <c r="D17" s="14"/>
      <c r="E17" s="87" t="s">
        <v>111</v>
      </c>
      <c r="F17" s="89"/>
      <c r="G17" s="89"/>
      <c r="H17" s="90">
        <f t="shared" si="0"/>
        <v>0</v>
      </c>
      <c r="I17" s="91">
        <f t="shared" si="1"/>
        <v>0</v>
      </c>
      <c r="J17" s="91" t="str">
        <f>IFERROR(#REF!/H17,"")</f>
        <v/>
      </c>
      <c r="K17" s="92"/>
    </row>
    <row r="18" spans="1:11">
      <c r="A18" s="79">
        <f t="shared" si="2"/>
        <v>9</v>
      </c>
      <c r="B18" s="97"/>
      <c r="C18" s="98" t="s">
        <v>112</v>
      </c>
      <c r="D18" s="98"/>
      <c r="E18" s="99"/>
      <c r="F18" s="89"/>
      <c r="G18" s="89"/>
      <c r="H18" s="90">
        <f t="shared" si="0"/>
        <v>0</v>
      </c>
      <c r="I18" s="91">
        <f t="shared" si="1"/>
        <v>0</v>
      </c>
      <c r="J18" s="91" t="str">
        <f>IFERROR(#REF!/H18,"")</f>
        <v/>
      </c>
      <c r="K18" s="92"/>
    </row>
    <row r="19" spans="1:11">
      <c r="A19" s="79">
        <f t="shared" si="2"/>
        <v>10</v>
      </c>
      <c r="B19" s="100"/>
      <c r="C19" s="98" t="s">
        <v>112</v>
      </c>
      <c r="D19" s="101"/>
      <c r="E19" s="102"/>
      <c r="F19" s="103"/>
      <c r="G19" s="103"/>
      <c r="H19" s="90">
        <f t="shared" si="0"/>
        <v>0</v>
      </c>
      <c r="I19" s="91">
        <f t="shared" si="1"/>
        <v>0</v>
      </c>
      <c r="J19" s="91" t="str">
        <f>IFERROR(#REF!/H19,"")</f>
        <v/>
      </c>
      <c r="K19" s="92"/>
    </row>
    <row r="20" spans="1:11">
      <c r="A20" s="79">
        <f t="shared" si="2"/>
        <v>11</v>
      </c>
      <c r="B20" s="97"/>
      <c r="C20" s="98" t="s">
        <v>112</v>
      </c>
      <c r="D20" s="98"/>
      <c r="E20" s="99"/>
      <c r="F20" s="89"/>
      <c r="G20" s="89"/>
      <c r="H20" s="104">
        <f t="shared" si="0"/>
        <v>0</v>
      </c>
      <c r="I20" s="105">
        <f t="shared" si="1"/>
        <v>0</v>
      </c>
      <c r="J20" s="105" t="str">
        <f>IFERROR(#REF!/H20,"")</f>
        <v/>
      </c>
      <c r="K20" s="92"/>
    </row>
    <row r="21" spans="1:11" ht="18" customHeight="1">
      <c r="A21" s="106">
        <f t="shared" si="2"/>
        <v>12</v>
      </c>
      <c r="B21" s="107" t="s">
        <v>113</v>
      </c>
      <c r="C21" s="15"/>
      <c r="D21" s="15"/>
      <c r="E21" s="108"/>
      <c r="F21" s="109">
        <f>SUM(F12:F20)</f>
        <v>471949</v>
      </c>
      <c r="G21" s="109">
        <f>SUM(G12:G20)</f>
        <v>0</v>
      </c>
      <c r="H21" s="110">
        <f t="shared" si="0"/>
        <v>471949</v>
      </c>
      <c r="I21" s="111">
        <f t="shared" si="1"/>
        <v>0.50333280719417095</v>
      </c>
      <c r="J21" s="111" t="str">
        <f>IFERROR(#REF!/H21,"")</f>
        <v/>
      </c>
      <c r="K21" s="112"/>
    </row>
    <row r="22" spans="1:11">
      <c r="A22" s="79">
        <f t="shared" si="2"/>
        <v>13</v>
      </c>
      <c r="B22" s="113"/>
      <c r="C22" s="114"/>
      <c r="D22" s="114"/>
      <c r="E22" s="115"/>
      <c r="F22" s="116"/>
      <c r="G22" s="116"/>
      <c r="H22" s="117"/>
      <c r="I22" s="117"/>
      <c r="J22" s="117"/>
      <c r="K22" s="118"/>
    </row>
    <row r="23" spans="1:11" ht="18" customHeight="1">
      <c r="A23" s="73">
        <f t="shared" si="2"/>
        <v>14</v>
      </c>
      <c r="B23" s="7" t="s">
        <v>114</v>
      </c>
      <c r="C23" s="7"/>
      <c r="D23" s="7"/>
      <c r="E23" s="119"/>
      <c r="F23" s="120"/>
      <c r="G23" s="120"/>
      <c r="H23" s="90"/>
      <c r="I23" s="90"/>
      <c r="J23" s="90"/>
      <c r="K23" s="121"/>
    </row>
    <row r="24" spans="1:11">
      <c r="A24" s="79">
        <f t="shared" si="2"/>
        <v>15</v>
      </c>
      <c r="B24" s="122"/>
      <c r="C24" s="123" t="s">
        <v>115</v>
      </c>
      <c r="D24" s="123"/>
      <c r="E24" s="124"/>
      <c r="F24" s="125"/>
      <c r="G24" s="126"/>
      <c r="H24" s="83"/>
      <c r="I24" s="83"/>
      <c r="J24" s="83"/>
      <c r="K24" s="127"/>
    </row>
    <row r="25" spans="1:11">
      <c r="A25" s="79">
        <f t="shared" si="2"/>
        <v>16</v>
      </c>
      <c r="B25" s="86"/>
      <c r="C25" s="14"/>
      <c r="D25" s="128" t="s">
        <v>116</v>
      </c>
      <c r="E25" s="87">
        <v>3110</v>
      </c>
      <c r="F25" s="89">
        <f>332737+4060+10000</f>
        <v>346797</v>
      </c>
      <c r="G25" s="129"/>
      <c r="H25" s="90">
        <f>G25+F25</f>
        <v>346797</v>
      </c>
      <c r="I25" s="91">
        <f>H25/$H$83</f>
        <v>0.36985841168540862</v>
      </c>
      <c r="J25" s="91" t="str">
        <f>IFERROR(#REF!/H25,"")</f>
        <v/>
      </c>
      <c r="K25" s="92" t="s">
        <v>117</v>
      </c>
    </row>
    <row r="26" spans="1:11">
      <c r="A26" s="79">
        <f t="shared" si="2"/>
        <v>17</v>
      </c>
      <c r="B26" s="86"/>
      <c r="C26" s="14"/>
      <c r="D26" s="14"/>
      <c r="E26" s="87">
        <v>3190</v>
      </c>
      <c r="F26" s="89">
        <v>38940</v>
      </c>
      <c r="G26" s="89"/>
      <c r="H26" s="90">
        <f>G26+F26</f>
        <v>38940</v>
      </c>
      <c r="I26" s="91">
        <f>H26/$H$83</f>
        <v>4.1529443885125333E-2</v>
      </c>
      <c r="J26" s="91" t="str">
        <f>IFERROR(#REF!/H26,"")</f>
        <v/>
      </c>
      <c r="K26" s="92" t="s">
        <v>118</v>
      </c>
    </row>
    <row r="27" spans="1:11">
      <c r="A27" s="79">
        <f t="shared" si="2"/>
        <v>18</v>
      </c>
      <c r="B27" s="130"/>
      <c r="C27" s="131" t="s">
        <v>119</v>
      </c>
      <c r="D27" s="131"/>
      <c r="E27" s="132"/>
      <c r="F27" s="133"/>
      <c r="G27" s="88"/>
      <c r="H27" s="90"/>
      <c r="I27" s="91"/>
      <c r="J27" s="91"/>
      <c r="K27" s="134"/>
    </row>
    <row r="28" spans="1:11">
      <c r="A28" s="79">
        <f t="shared" si="2"/>
        <v>19</v>
      </c>
      <c r="B28" s="86"/>
      <c r="C28" s="14"/>
      <c r="D28" s="14" t="s">
        <v>120</v>
      </c>
      <c r="E28" s="135">
        <v>3220</v>
      </c>
      <c r="F28" s="136"/>
      <c r="G28" s="89"/>
      <c r="H28" s="90">
        <f t="shared" ref="H28:H38" si="3">G28+F28</f>
        <v>0</v>
      </c>
      <c r="I28" s="91">
        <f t="shared" ref="I28:I38" si="4">H28/$H$83</f>
        <v>0</v>
      </c>
      <c r="J28" s="91" t="str">
        <f>IFERROR(#REF!/H28,"")</f>
        <v/>
      </c>
      <c r="K28" s="92"/>
    </row>
    <row r="29" spans="1:11">
      <c r="A29" s="79">
        <f t="shared" si="2"/>
        <v>20</v>
      </c>
      <c r="B29" s="86"/>
      <c r="C29" s="14"/>
      <c r="D29" s="14" t="s">
        <v>121</v>
      </c>
      <c r="E29" s="135">
        <v>3230</v>
      </c>
      <c r="F29" s="137"/>
      <c r="G29" s="95"/>
      <c r="H29" s="90">
        <f t="shared" si="3"/>
        <v>0</v>
      </c>
      <c r="I29" s="91">
        <f t="shared" si="4"/>
        <v>0</v>
      </c>
      <c r="J29" s="91" t="str">
        <f>IFERROR(#REF!/H29,"")</f>
        <v/>
      </c>
      <c r="K29" s="92"/>
    </row>
    <row r="30" spans="1:11">
      <c r="A30" s="79">
        <f t="shared" si="2"/>
        <v>21</v>
      </c>
      <c r="B30" s="86"/>
      <c r="C30" s="14"/>
      <c r="D30" s="14" t="s">
        <v>122</v>
      </c>
      <c r="E30" s="135">
        <v>3290</v>
      </c>
      <c r="F30" s="137"/>
      <c r="G30" s="89"/>
      <c r="H30" s="90">
        <f t="shared" si="3"/>
        <v>0</v>
      </c>
      <c r="I30" s="91">
        <f t="shared" si="4"/>
        <v>0</v>
      </c>
      <c r="J30" s="91" t="str">
        <f>IFERROR(#REF!/H30,"")</f>
        <v/>
      </c>
      <c r="K30" s="92"/>
    </row>
    <row r="31" spans="1:11">
      <c r="A31" s="79">
        <f t="shared" si="2"/>
        <v>22</v>
      </c>
      <c r="B31" s="86"/>
      <c r="C31" s="14"/>
      <c r="D31" s="138" t="s">
        <v>123</v>
      </c>
      <c r="E31" s="135">
        <v>3240</v>
      </c>
      <c r="F31" s="139"/>
      <c r="G31" s="89"/>
      <c r="H31" s="90">
        <f t="shared" si="3"/>
        <v>0</v>
      </c>
      <c r="I31" s="91">
        <f t="shared" si="4"/>
        <v>0</v>
      </c>
      <c r="J31" s="91" t="str">
        <f>IFERROR(#REF!/H31,"")</f>
        <v/>
      </c>
      <c r="K31" s="92"/>
    </row>
    <row r="32" spans="1:11">
      <c r="A32" s="79">
        <f t="shared" si="2"/>
        <v>23</v>
      </c>
      <c r="B32" s="86"/>
      <c r="C32" s="14"/>
      <c r="D32" s="14" t="s">
        <v>124</v>
      </c>
      <c r="E32" s="135">
        <v>3290</v>
      </c>
      <c r="F32" s="139"/>
      <c r="G32" s="89"/>
      <c r="H32" s="90">
        <f t="shared" si="3"/>
        <v>0</v>
      </c>
      <c r="I32" s="91">
        <f t="shared" si="4"/>
        <v>0</v>
      </c>
      <c r="J32" s="91" t="str">
        <f>IFERROR(#REF!/H32,"")</f>
        <v/>
      </c>
      <c r="K32" s="92"/>
    </row>
    <row r="33" spans="1:11">
      <c r="A33" s="79">
        <f t="shared" si="2"/>
        <v>24</v>
      </c>
      <c r="B33" s="86"/>
      <c r="C33" s="14"/>
      <c r="D33" s="138" t="s">
        <v>125</v>
      </c>
      <c r="E33" s="135">
        <v>3290</v>
      </c>
      <c r="F33" s="140"/>
      <c r="G33" s="89"/>
      <c r="H33" s="90">
        <f t="shared" si="3"/>
        <v>0</v>
      </c>
      <c r="I33" s="91">
        <f t="shared" si="4"/>
        <v>0</v>
      </c>
      <c r="J33" s="91" t="str">
        <f>IFERROR(#REF!/H33,"")</f>
        <v/>
      </c>
      <c r="K33" s="92"/>
    </row>
    <row r="34" spans="1:11">
      <c r="A34" s="79">
        <f t="shared" si="2"/>
        <v>25</v>
      </c>
      <c r="B34" s="97"/>
      <c r="C34" s="98" t="s">
        <v>126</v>
      </c>
      <c r="D34" s="98"/>
      <c r="E34" s="99"/>
      <c r="F34" s="141"/>
      <c r="G34" s="89"/>
      <c r="H34" s="90">
        <f t="shared" si="3"/>
        <v>0</v>
      </c>
      <c r="I34" s="91">
        <f t="shared" si="4"/>
        <v>0</v>
      </c>
      <c r="J34" s="91" t="str">
        <f>IFERROR(#REF!/H34,"")</f>
        <v/>
      </c>
      <c r="K34" s="92"/>
    </row>
    <row r="35" spans="1:11">
      <c r="A35" s="79">
        <f t="shared" si="2"/>
        <v>26</v>
      </c>
      <c r="B35" s="97"/>
      <c r="C35" s="98" t="s">
        <v>112</v>
      </c>
      <c r="D35" s="98"/>
      <c r="E35" s="99"/>
      <c r="F35" s="89"/>
      <c r="G35" s="89"/>
      <c r="H35" s="90">
        <f t="shared" si="3"/>
        <v>0</v>
      </c>
      <c r="I35" s="91">
        <f t="shared" si="4"/>
        <v>0</v>
      </c>
      <c r="J35" s="91" t="str">
        <f>IFERROR(#REF!/H35,"")</f>
        <v/>
      </c>
      <c r="K35" s="92"/>
    </row>
    <row r="36" spans="1:11">
      <c r="A36" s="79">
        <f t="shared" si="2"/>
        <v>27</v>
      </c>
      <c r="B36" s="100"/>
      <c r="C36" s="98" t="s">
        <v>112</v>
      </c>
      <c r="D36" s="101"/>
      <c r="E36" s="142"/>
      <c r="F36" s="103"/>
      <c r="G36" s="103"/>
      <c r="H36" s="90">
        <f t="shared" si="3"/>
        <v>0</v>
      </c>
      <c r="I36" s="91">
        <f t="shared" si="4"/>
        <v>0</v>
      </c>
      <c r="J36" s="91" t="str">
        <f>IFERROR(#REF!/H36,"")</f>
        <v/>
      </c>
      <c r="K36" s="92"/>
    </row>
    <row r="37" spans="1:11">
      <c r="A37" s="79">
        <f t="shared" si="2"/>
        <v>28</v>
      </c>
      <c r="B37" s="97"/>
      <c r="C37" s="98" t="s">
        <v>112</v>
      </c>
      <c r="D37" s="98"/>
      <c r="E37" s="143"/>
      <c r="F37" s="89"/>
      <c r="G37" s="89"/>
      <c r="H37" s="104">
        <f t="shared" si="3"/>
        <v>0</v>
      </c>
      <c r="I37" s="105">
        <f t="shared" si="4"/>
        <v>0</v>
      </c>
      <c r="J37" s="105" t="str">
        <f>IFERROR(#REF!/H37,"")</f>
        <v/>
      </c>
      <c r="K37" s="92"/>
    </row>
    <row r="38" spans="1:11" ht="18" customHeight="1">
      <c r="A38" s="106">
        <f t="shared" si="2"/>
        <v>29</v>
      </c>
      <c r="B38" s="107" t="s">
        <v>127</v>
      </c>
      <c r="C38" s="15"/>
      <c r="D38" s="15"/>
      <c r="E38" s="108"/>
      <c r="F38" s="109">
        <f>SUM(F25:F37)</f>
        <v>385737</v>
      </c>
      <c r="G38" s="109">
        <f>SUM(G25:G37)</f>
        <v>0</v>
      </c>
      <c r="H38" s="110">
        <f t="shared" si="3"/>
        <v>385737</v>
      </c>
      <c r="I38" s="111">
        <f t="shared" si="4"/>
        <v>0.41138785557053392</v>
      </c>
      <c r="J38" s="111" t="str">
        <f>IFERROR(#REF!/H38,"")</f>
        <v/>
      </c>
      <c r="K38" s="112"/>
    </row>
    <row r="39" spans="1:11" ht="15.75" thickBot="1">
      <c r="A39" s="144">
        <f t="shared" si="2"/>
        <v>30</v>
      </c>
      <c r="B39" s="145"/>
      <c r="C39" s="146"/>
      <c r="D39" s="146"/>
      <c r="E39" s="147"/>
      <c r="F39" s="148"/>
      <c r="G39" s="148"/>
      <c r="H39" s="149"/>
      <c r="I39" s="150"/>
      <c r="J39" s="150"/>
      <c r="K39" s="151"/>
    </row>
    <row r="40" spans="1:11" ht="18" customHeight="1" thickTop="1">
      <c r="A40" s="152">
        <f t="shared" si="2"/>
        <v>31</v>
      </c>
      <c r="B40" s="7" t="s">
        <v>128</v>
      </c>
      <c r="C40" s="7"/>
      <c r="D40" s="7"/>
      <c r="E40" s="119"/>
      <c r="F40" s="75"/>
      <c r="G40" s="75"/>
      <c r="H40" s="76"/>
      <c r="I40" s="91"/>
      <c r="J40" s="91"/>
      <c r="K40" s="153"/>
    </row>
    <row r="41" spans="1:11">
      <c r="A41" s="154">
        <f t="shared" si="2"/>
        <v>32</v>
      </c>
      <c r="B41" s="123"/>
      <c r="C41" s="123" t="s">
        <v>129</v>
      </c>
      <c r="D41" s="123"/>
      <c r="E41" s="124"/>
      <c r="F41" s="155"/>
      <c r="G41" s="155"/>
      <c r="H41" s="156"/>
      <c r="I41" s="84"/>
      <c r="J41" s="84"/>
      <c r="K41" s="157"/>
    </row>
    <row r="42" spans="1:11">
      <c r="A42" s="154">
        <f t="shared" si="2"/>
        <v>33</v>
      </c>
      <c r="B42" s="14"/>
      <c r="C42" s="14"/>
      <c r="D42" s="14" t="s">
        <v>130</v>
      </c>
      <c r="E42" s="87">
        <v>4110</v>
      </c>
      <c r="F42" s="89"/>
      <c r="G42" s="95"/>
      <c r="H42" s="90">
        <f>G42+F42</f>
        <v>0</v>
      </c>
      <c r="I42" s="91">
        <f>H42/$H$83</f>
        <v>0</v>
      </c>
      <c r="J42" s="91" t="str">
        <f>IFERROR(#REF!/H42,"")</f>
        <v/>
      </c>
      <c r="K42" s="92"/>
    </row>
    <row r="43" spans="1:11">
      <c r="A43" s="154">
        <f t="shared" si="2"/>
        <v>34</v>
      </c>
      <c r="B43" s="14"/>
      <c r="C43" s="14"/>
      <c r="D43" s="14" t="s">
        <v>131</v>
      </c>
      <c r="E43" s="87">
        <v>4190</v>
      </c>
      <c r="F43" s="158"/>
      <c r="G43" s="89"/>
      <c r="H43" s="90">
        <f>G43+F43</f>
        <v>0</v>
      </c>
      <c r="I43" s="91">
        <f>H43/$H$83</f>
        <v>0</v>
      </c>
      <c r="J43" s="91" t="str">
        <f>IFERROR(#REF!/H43,"")</f>
        <v/>
      </c>
      <c r="K43" s="92"/>
    </row>
    <row r="44" spans="1:11">
      <c r="A44" s="154">
        <f t="shared" si="2"/>
        <v>35</v>
      </c>
      <c r="B44" s="131"/>
      <c r="C44" s="131" t="s">
        <v>132</v>
      </c>
      <c r="D44" s="131"/>
      <c r="E44" s="132"/>
      <c r="F44" s="159"/>
      <c r="G44" s="88"/>
      <c r="H44" s="90"/>
      <c r="I44" s="91"/>
      <c r="J44" s="91"/>
      <c r="K44" s="160"/>
    </row>
    <row r="45" spans="1:11">
      <c r="A45" s="154">
        <f t="shared" si="2"/>
        <v>36</v>
      </c>
      <c r="B45" s="14"/>
      <c r="C45" s="14"/>
      <c r="D45" s="14" t="s">
        <v>133</v>
      </c>
      <c r="E45" s="87">
        <v>4330</v>
      </c>
      <c r="F45" s="161"/>
      <c r="G45" s="95"/>
      <c r="H45" s="90">
        <f>G45+F45</f>
        <v>0</v>
      </c>
      <c r="I45" s="91">
        <f>H45/$H$83</f>
        <v>0</v>
      </c>
      <c r="J45" s="91" t="str">
        <f>IFERROR(#REF!/H45,"")</f>
        <v/>
      </c>
      <c r="K45" s="160"/>
    </row>
    <row r="46" spans="1:11">
      <c r="A46" s="154">
        <f t="shared" si="2"/>
        <v>37</v>
      </c>
      <c r="B46" s="14"/>
      <c r="C46" s="14"/>
      <c r="D46" s="14" t="s">
        <v>134</v>
      </c>
      <c r="E46" s="87">
        <v>4390</v>
      </c>
      <c r="F46" s="162"/>
      <c r="G46" s="89"/>
      <c r="H46" s="90">
        <f>G46+F46</f>
        <v>0</v>
      </c>
      <c r="I46" s="91">
        <f>H46/$H$83</f>
        <v>0</v>
      </c>
      <c r="J46" s="91" t="str">
        <f>IFERROR(#REF!/H46,"")</f>
        <v/>
      </c>
      <c r="K46" s="92"/>
    </row>
    <row r="47" spans="1:11">
      <c r="A47" s="154" t="e">
        <f>#REF!+1</f>
        <v>#REF!</v>
      </c>
      <c r="B47" s="131" t="s">
        <v>135</v>
      </c>
      <c r="C47" s="131"/>
      <c r="D47" s="131"/>
      <c r="E47" s="132"/>
      <c r="F47" s="159"/>
      <c r="G47" s="88"/>
      <c r="H47" s="90"/>
      <c r="I47" s="91"/>
      <c r="J47" s="91"/>
      <c r="K47" s="160"/>
    </row>
    <row r="48" spans="1:11">
      <c r="A48" s="154" t="e">
        <f t="shared" si="2"/>
        <v>#REF!</v>
      </c>
      <c r="B48" s="14"/>
      <c r="C48" s="14"/>
      <c r="D48" s="14" t="s">
        <v>136</v>
      </c>
      <c r="E48" s="87">
        <v>4510</v>
      </c>
      <c r="F48" s="120"/>
      <c r="G48" s="89"/>
      <c r="H48" s="90">
        <f>G48+F48</f>
        <v>0</v>
      </c>
      <c r="I48" s="91">
        <f>H48/$H$83</f>
        <v>0</v>
      </c>
      <c r="J48" s="91" t="str">
        <f>IFERROR(#REF!/H48,"")</f>
        <v/>
      </c>
      <c r="K48" s="92"/>
    </row>
    <row r="49" spans="1:11">
      <c r="A49" s="154" t="e">
        <f t="shared" si="2"/>
        <v>#REF!</v>
      </c>
      <c r="B49" s="14"/>
      <c r="C49" s="14"/>
      <c r="D49" s="14" t="s">
        <v>137</v>
      </c>
      <c r="E49" s="87">
        <v>4515</v>
      </c>
      <c r="F49" s="120"/>
      <c r="G49" s="89"/>
      <c r="H49" s="90">
        <f>G49+F49</f>
        <v>0</v>
      </c>
      <c r="I49" s="91">
        <f>H49/$H$83</f>
        <v>0</v>
      </c>
      <c r="J49" s="91" t="str">
        <f>IFERROR(#REF!/H49,"")</f>
        <v/>
      </c>
      <c r="K49" s="92"/>
    </row>
    <row r="50" spans="1:11">
      <c r="A50" s="154" t="e">
        <f t="shared" si="2"/>
        <v>#REF!</v>
      </c>
      <c r="B50" s="131"/>
      <c r="C50" s="131"/>
      <c r="D50" s="131" t="s">
        <v>138</v>
      </c>
      <c r="E50" s="132"/>
      <c r="F50" s="120"/>
      <c r="G50" s="88"/>
      <c r="H50" s="90"/>
      <c r="I50" s="91"/>
      <c r="J50" s="91"/>
      <c r="K50" s="160"/>
    </row>
    <row r="51" spans="1:11">
      <c r="A51" s="154" t="e">
        <f t="shared" si="2"/>
        <v>#REF!</v>
      </c>
      <c r="B51" s="14"/>
      <c r="C51" s="14"/>
      <c r="D51" s="14" t="s">
        <v>139</v>
      </c>
      <c r="E51" s="87" t="s">
        <v>140</v>
      </c>
      <c r="F51" s="120"/>
      <c r="G51" s="89">
        <f>13574+3745</f>
        <v>17319</v>
      </c>
      <c r="H51" s="90">
        <f>G51+F51</f>
        <v>17319</v>
      </c>
      <c r="I51" s="91">
        <f>H51/$H$83</f>
        <v>1.8470684094670922E-2</v>
      </c>
      <c r="J51" s="91" t="str">
        <f>IFERROR(#REF!/H51,"")</f>
        <v/>
      </c>
      <c r="K51" s="92"/>
    </row>
    <row r="52" spans="1:11">
      <c r="A52" s="154" t="e">
        <f t="shared" si="2"/>
        <v>#REF!</v>
      </c>
      <c r="B52" s="14"/>
      <c r="C52" s="14"/>
      <c r="D52" s="14" t="s">
        <v>141</v>
      </c>
      <c r="E52" s="87" t="s">
        <v>142</v>
      </c>
      <c r="F52" s="120"/>
      <c r="G52" s="89"/>
      <c r="H52" s="90">
        <f>G52+F52</f>
        <v>0</v>
      </c>
      <c r="I52" s="91">
        <f>H52/$H$83</f>
        <v>0</v>
      </c>
      <c r="J52" s="91" t="str">
        <f>IFERROR(#REF!/H52,"")</f>
        <v/>
      </c>
      <c r="K52" s="92"/>
    </row>
    <row r="53" spans="1:11">
      <c r="A53" s="154" t="e">
        <f t="shared" si="2"/>
        <v>#REF!</v>
      </c>
      <c r="B53" s="14"/>
      <c r="C53" s="14"/>
      <c r="D53" s="138" t="s">
        <v>143</v>
      </c>
      <c r="E53" s="87">
        <v>4535</v>
      </c>
      <c r="F53" s="120"/>
      <c r="G53" s="89"/>
      <c r="H53" s="90">
        <f>G53+F53</f>
        <v>0</v>
      </c>
      <c r="I53" s="91">
        <f>H53/$H$83</f>
        <v>0</v>
      </c>
      <c r="J53" s="91" t="str">
        <f>IFERROR(#REF!/H53,"")</f>
        <v/>
      </c>
      <c r="K53" s="92"/>
    </row>
    <row r="54" spans="1:11">
      <c r="A54" s="154" t="e">
        <f t="shared" si="2"/>
        <v>#REF!</v>
      </c>
      <c r="B54" s="14"/>
      <c r="C54" s="14"/>
      <c r="D54" s="14" t="s">
        <v>144</v>
      </c>
      <c r="E54" s="87" t="s">
        <v>145</v>
      </c>
      <c r="F54" s="120"/>
      <c r="G54" s="89"/>
      <c r="H54" s="90">
        <f>G54+F54</f>
        <v>0</v>
      </c>
      <c r="I54" s="91">
        <f>H54/$H$83</f>
        <v>0</v>
      </c>
      <c r="J54" s="91" t="str">
        <f>IFERROR(#REF!/H54,"")</f>
        <v/>
      </c>
      <c r="K54" s="92"/>
    </row>
    <row r="55" spans="1:11">
      <c r="A55" s="154" t="e">
        <f t="shared" si="2"/>
        <v>#REF!</v>
      </c>
      <c r="B55" s="131"/>
      <c r="C55" s="131"/>
      <c r="D55" s="131" t="s">
        <v>146</v>
      </c>
      <c r="E55" s="132"/>
      <c r="F55" s="120"/>
      <c r="G55" s="88"/>
      <c r="H55" s="90"/>
      <c r="I55" s="91"/>
      <c r="J55" s="91"/>
      <c r="K55" s="160"/>
    </row>
    <row r="56" spans="1:11">
      <c r="A56" s="154" t="e">
        <f t="shared" si="2"/>
        <v>#REF!</v>
      </c>
      <c r="B56" s="14"/>
      <c r="C56" s="14"/>
      <c r="D56" s="14" t="s">
        <v>147</v>
      </c>
      <c r="E56" s="87" t="s">
        <v>148</v>
      </c>
      <c r="F56" s="120"/>
      <c r="G56" s="89">
        <v>19434</v>
      </c>
      <c r="H56" s="90">
        <f t="shared" ref="H56:H68" si="5">G56+F56</f>
        <v>19434</v>
      </c>
      <c r="I56" s="91">
        <f t="shared" ref="I56:I68" si="6">H56/$H$83</f>
        <v>2.0726328003685818E-2</v>
      </c>
      <c r="J56" s="91" t="str">
        <f>IFERROR(#REF!/H56,"")</f>
        <v/>
      </c>
      <c r="K56" s="92" t="s">
        <v>260</v>
      </c>
    </row>
    <row r="57" spans="1:11">
      <c r="A57" s="154" t="e">
        <f t="shared" si="2"/>
        <v>#REF!</v>
      </c>
      <c r="B57" s="14"/>
      <c r="C57" s="14"/>
      <c r="D57" s="14" t="s">
        <v>149</v>
      </c>
      <c r="E57" s="87">
        <v>4550</v>
      </c>
      <c r="F57" s="120"/>
      <c r="G57" s="89">
        <v>31655</v>
      </c>
      <c r="H57" s="90">
        <f t="shared" si="5"/>
        <v>31655</v>
      </c>
      <c r="I57" s="91">
        <f t="shared" si="6"/>
        <v>3.3760003754074022E-2</v>
      </c>
      <c r="J57" s="91" t="str">
        <f>IFERROR(#REF!/H57,"")</f>
        <v/>
      </c>
      <c r="K57" s="92" t="s">
        <v>150</v>
      </c>
    </row>
    <row r="58" spans="1:11">
      <c r="A58" s="154" t="e">
        <f t="shared" si="2"/>
        <v>#REF!</v>
      </c>
      <c r="B58" s="14"/>
      <c r="C58" s="14"/>
      <c r="D58" s="14" t="s">
        <v>151</v>
      </c>
      <c r="E58" s="87" t="s">
        <v>152</v>
      </c>
      <c r="F58" s="120"/>
      <c r="G58" s="89"/>
      <c r="H58" s="90">
        <f t="shared" si="5"/>
        <v>0</v>
      </c>
      <c r="I58" s="91">
        <f t="shared" si="6"/>
        <v>0</v>
      </c>
      <c r="J58" s="91" t="str">
        <f>IFERROR(#REF!/H58,"")</f>
        <v/>
      </c>
      <c r="K58" s="92"/>
    </row>
    <row r="59" spans="1:11">
      <c r="A59" s="154" t="e">
        <f t="shared" si="2"/>
        <v>#REF!</v>
      </c>
      <c r="B59" s="14"/>
      <c r="C59" s="14"/>
      <c r="D59" s="14" t="s">
        <v>153</v>
      </c>
      <c r="E59" s="87" t="s">
        <v>154</v>
      </c>
      <c r="F59" s="120"/>
      <c r="G59" s="89">
        <v>9000</v>
      </c>
      <c r="H59" s="90">
        <f t="shared" si="5"/>
        <v>9000</v>
      </c>
      <c r="I59" s="91">
        <f t="shared" si="6"/>
        <v>9.5984847192123277E-3</v>
      </c>
      <c r="J59" s="91" t="str">
        <f>IFERROR(#REF!/H59,"")</f>
        <v/>
      </c>
      <c r="K59" s="92"/>
    </row>
    <row r="60" spans="1:11">
      <c r="A60" s="154" t="e">
        <f t="shared" si="2"/>
        <v>#REF!</v>
      </c>
      <c r="B60" s="14"/>
      <c r="C60" s="14"/>
      <c r="D60" s="14" t="s">
        <v>155</v>
      </c>
      <c r="E60" s="87" t="s">
        <v>156</v>
      </c>
      <c r="F60" s="120"/>
      <c r="G60" s="89">
        <v>2554</v>
      </c>
      <c r="H60" s="90">
        <f t="shared" si="5"/>
        <v>2554</v>
      </c>
      <c r="I60" s="91">
        <f t="shared" si="6"/>
        <v>2.7238366636520316E-3</v>
      </c>
      <c r="J60" s="91" t="str">
        <f>IFERROR(#REF!/H60,"")</f>
        <v/>
      </c>
      <c r="K60" s="92"/>
    </row>
    <row r="61" spans="1:11">
      <c r="A61" s="154" t="e">
        <f t="shared" si="2"/>
        <v>#REF!</v>
      </c>
      <c r="B61" s="14"/>
      <c r="C61" s="14"/>
      <c r="D61" s="14" t="s">
        <v>157</v>
      </c>
      <c r="E61" s="87">
        <v>4559</v>
      </c>
      <c r="F61" s="120"/>
      <c r="G61" s="89"/>
      <c r="H61" s="90">
        <f t="shared" si="5"/>
        <v>0</v>
      </c>
      <c r="I61" s="91">
        <f t="shared" si="6"/>
        <v>0</v>
      </c>
      <c r="J61" s="91" t="str">
        <f>IFERROR(#REF!/H61,"")</f>
        <v/>
      </c>
      <c r="K61" s="92"/>
    </row>
    <row r="62" spans="1:11">
      <c r="A62" s="154" t="e">
        <f t="shared" si="2"/>
        <v>#REF!</v>
      </c>
      <c r="B62" s="14"/>
      <c r="C62" s="14"/>
      <c r="D62" s="14" t="s">
        <v>158</v>
      </c>
      <c r="E62" s="87">
        <v>4553</v>
      </c>
      <c r="F62" s="120"/>
      <c r="G62" s="89"/>
      <c r="H62" s="90">
        <f t="shared" si="5"/>
        <v>0</v>
      </c>
      <c r="I62" s="91">
        <f t="shared" si="6"/>
        <v>0</v>
      </c>
      <c r="J62" s="91" t="str">
        <f>IFERROR(#REF!/H62,"")</f>
        <v/>
      </c>
      <c r="K62" s="92"/>
    </row>
    <row r="63" spans="1:11">
      <c r="A63" s="154" t="e">
        <f t="shared" si="2"/>
        <v>#REF!</v>
      </c>
      <c r="B63" s="14"/>
      <c r="C63" s="14"/>
      <c r="D63" s="14" t="s">
        <v>159</v>
      </c>
      <c r="E63" s="87">
        <v>4559</v>
      </c>
      <c r="F63" s="120"/>
      <c r="G63" s="89"/>
      <c r="H63" s="90">
        <f t="shared" si="5"/>
        <v>0</v>
      </c>
      <c r="I63" s="91">
        <f t="shared" si="6"/>
        <v>0</v>
      </c>
      <c r="J63" s="91" t="str">
        <f>IFERROR(#REF!/H63,"")</f>
        <v/>
      </c>
      <c r="K63" s="92"/>
    </row>
    <row r="64" spans="1:11">
      <c r="A64" s="154" t="e">
        <f t="shared" si="2"/>
        <v>#REF!</v>
      </c>
      <c r="B64" s="131"/>
      <c r="C64" s="131"/>
      <c r="D64" s="131" t="s">
        <v>160</v>
      </c>
      <c r="E64" s="163"/>
      <c r="F64" s="164"/>
      <c r="G64" s="95"/>
      <c r="H64" s="90">
        <f t="shared" si="5"/>
        <v>0</v>
      </c>
      <c r="I64" s="91">
        <f t="shared" si="6"/>
        <v>0</v>
      </c>
      <c r="J64" s="91" t="str">
        <f>IFERROR(#REF!/H64,"")</f>
        <v/>
      </c>
      <c r="K64" s="92"/>
    </row>
    <row r="65" spans="1:11">
      <c r="A65" s="154" t="e">
        <f t="shared" si="2"/>
        <v>#REF!</v>
      </c>
      <c r="B65" s="14"/>
      <c r="C65" s="14"/>
      <c r="D65" s="14" t="s">
        <v>161</v>
      </c>
      <c r="E65" s="87">
        <v>4590</v>
      </c>
      <c r="F65" s="120"/>
      <c r="G65" s="89"/>
      <c r="H65" s="90">
        <f t="shared" si="5"/>
        <v>0</v>
      </c>
      <c r="I65" s="91">
        <f t="shared" si="6"/>
        <v>0</v>
      </c>
      <c r="J65" s="91" t="str">
        <f>IFERROR(#REF!/H65,"")</f>
        <v/>
      </c>
      <c r="K65" s="92"/>
    </row>
    <row r="66" spans="1:11">
      <c r="A66" s="154" t="e">
        <f t="shared" si="2"/>
        <v>#REF!</v>
      </c>
      <c r="B66" s="14"/>
      <c r="C66" s="14"/>
      <c r="D66" s="14" t="s">
        <v>162</v>
      </c>
      <c r="E66" s="87">
        <v>4590</v>
      </c>
      <c r="F66" s="120"/>
      <c r="G66" s="89">
        <v>0</v>
      </c>
      <c r="H66" s="90">
        <f t="shared" si="5"/>
        <v>0</v>
      </c>
      <c r="I66" s="91">
        <f t="shared" si="6"/>
        <v>0</v>
      </c>
      <c r="J66" s="91" t="str">
        <f>IFERROR(#REF!/H66,"")</f>
        <v/>
      </c>
      <c r="K66" s="92"/>
    </row>
    <row r="67" spans="1:11">
      <c r="A67" s="154" t="e">
        <f t="shared" si="2"/>
        <v>#REF!</v>
      </c>
      <c r="B67" s="14"/>
      <c r="C67" s="14"/>
      <c r="D67" s="14" t="s">
        <v>163</v>
      </c>
      <c r="E67" s="87">
        <v>4590</v>
      </c>
      <c r="F67" s="120"/>
      <c r="G67" s="89"/>
      <c r="H67" s="90">
        <f t="shared" si="5"/>
        <v>0</v>
      </c>
      <c r="I67" s="91">
        <f t="shared" si="6"/>
        <v>0</v>
      </c>
      <c r="J67" s="91" t="str">
        <f>IFERROR(#REF!/H67,"")</f>
        <v/>
      </c>
      <c r="K67" s="165"/>
    </row>
    <row r="68" spans="1:11">
      <c r="A68" s="154" t="e">
        <f t="shared" si="2"/>
        <v>#REF!</v>
      </c>
      <c r="B68" s="14"/>
      <c r="C68" s="14"/>
      <c r="D68" s="14" t="s">
        <v>164</v>
      </c>
      <c r="E68" s="87">
        <v>4590</v>
      </c>
      <c r="F68" s="120"/>
      <c r="G68" s="89"/>
      <c r="H68" s="90">
        <f t="shared" si="5"/>
        <v>0</v>
      </c>
      <c r="I68" s="91">
        <f t="shared" si="6"/>
        <v>0</v>
      </c>
      <c r="J68" s="91" t="str">
        <f>IFERROR(#REF!/H68,"")</f>
        <v/>
      </c>
      <c r="K68" s="165"/>
    </row>
    <row r="69" spans="1:11">
      <c r="A69" s="154" t="e">
        <f t="shared" si="2"/>
        <v>#REF!</v>
      </c>
      <c r="B69" s="14"/>
      <c r="C69" s="14"/>
      <c r="D69" s="14" t="s">
        <v>165</v>
      </c>
      <c r="E69" s="87">
        <v>4590</v>
      </c>
      <c r="F69" s="120"/>
      <c r="G69" s="89"/>
      <c r="H69" s="90"/>
      <c r="I69" s="91"/>
      <c r="J69" s="91"/>
      <c r="K69" s="92"/>
    </row>
    <row r="70" spans="1:11">
      <c r="A70" s="154" t="e">
        <f t="shared" si="2"/>
        <v>#REF!</v>
      </c>
      <c r="B70" s="14"/>
      <c r="C70" s="14"/>
      <c r="D70" s="14" t="s">
        <v>166</v>
      </c>
      <c r="E70" s="87">
        <v>4590</v>
      </c>
      <c r="F70" s="120"/>
      <c r="G70" s="89"/>
      <c r="H70" s="90">
        <f t="shared" ref="H70:H78" si="7">G70+F70</f>
        <v>0</v>
      </c>
      <c r="I70" s="91">
        <f t="shared" ref="I70:I78" si="8">H70/$H$83</f>
        <v>0</v>
      </c>
      <c r="J70" s="91" t="str">
        <f>IFERROR(#REF!/H70,"")</f>
        <v/>
      </c>
      <c r="K70" s="92"/>
    </row>
    <row r="71" spans="1:11">
      <c r="A71" s="154" t="e">
        <f t="shared" si="2"/>
        <v>#REF!</v>
      </c>
      <c r="B71" s="14"/>
      <c r="C71" s="14"/>
      <c r="D71" s="14" t="s">
        <v>167</v>
      </c>
      <c r="E71" s="87">
        <v>4580</v>
      </c>
      <c r="F71" s="120"/>
      <c r="G71" s="89"/>
      <c r="H71" s="90">
        <f t="shared" si="7"/>
        <v>0</v>
      </c>
      <c r="I71" s="91">
        <f t="shared" si="8"/>
        <v>0</v>
      </c>
      <c r="J71" s="91" t="str">
        <f>IFERROR(#REF!/H71,"")</f>
        <v/>
      </c>
      <c r="K71" s="92"/>
    </row>
    <row r="72" spans="1:11">
      <c r="A72" s="154" t="e">
        <f t="shared" si="2"/>
        <v>#REF!</v>
      </c>
      <c r="B72" s="14"/>
      <c r="C72" s="14"/>
      <c r="D72" s="14" t="s">
        <v>168</v>
      </c>
      <c r="E72" s="87" t="s">
        <v>169</v>
      </c>
      <c r="F72" s="120"/>
      <c r="G72" s="89"/>
      <c r="H72" s="90">
        <f t="shared" si="7"/>
        <v>0</v>
      </c>
      <c r="I72" s="91">
        <f t="shared" si="8"/>
        <v>0</v>
      </c>
      <c r="J72" s="91" t="str">
        <f>IFERROR(#REF!/H72,"")</f>
        <v/>
      </c>
      <c r="K72" s="92"/>
    </row>
    <row r="73" spans="1:11">
      <c r="A73" s="154" t="e">
        <f t="shared" si="2"/>
        <v>#REF!</v>
      </c>
      <c r="B73" s="14"/>
      <c r="C73" s="14"/>
      <c r="D73" s="166" t="s">
        <v>170</v>
      </c>
      <c r="E73" s="87">
        <v>4590</v>
      </c>
      <c r="F73" s="120"/>
      <c r="G73" s="89"/>
      <c r="H73" s="90">
        <f t="shared" si="7"/>
        <v>0</v>
      </c>
      <c r="I73" s="91">
        <f t="shared" si="8"/>
        <v>0</v>
      </c>
      <c r="J73" s="91" t="str">
        <f>IFERROR(#REF!/H73,"")</f>
        <v/>
      </c>
      <c r="K73" s="92"/>
    </row>
    <row r="74" spans="1:11">
      <c r="A74" s="154" t="e">
        <f t="shared" si="2"/>
        <v>#REF!</v>
      </c>
      <c r="B74" s="101"/>
      <c r="C74" s="98"/>
      <c r="D74" s="101"/>
      <c r="E74" s="87"/>
      <c r="F74" s="103"/>
      <c r="G74" s="103"/>
      <c r="H74" s="90">
        <f t="shared" si="7"/>
        <v>0</v>
      </c>
      <c r="I74" s="91">
        <f t="shared" si="8"/>
        <v>0</v>
      </c>
      <c r="J74" s="91" t="str">
        <f>IFERROR(#REF!/H74,"")</f>
        <v/>
      </c>
      <c r="K74" s="92"/>
    </row>
    <row r="75" spans="1:11">
      <c r="A75" s="154" t="e">
        <f t="shared" si="2"/>
        <v>#REF!</v>
      </c>
      <c r="B75" s="101"/>
      <c r="C75" s="98" t="s">
        <v>112</v>
      </c>
      <c r="D75" s="101"/>
      <c r="E75" s="102"/>
      <c r="F75" s="103"/>
      <c r="G75" s="103"/>
      <c r="H75" s="90">
        <f t="shared" si="7"/>
        <v>0</v>
      </c>
      <c r="I75" s="91">
        <f t="shared" si="8"/>
        <v>0</v>
      </c>
      <c r="J75" s="91" t="str">
        <f>IFERROR(#REF!/H75,"")</f>
        <v/>
      </c>
      <c r="K75" s="92"/>
    </row>
    <row r="76" spans="1:11" ht="14.25" customHeight="1">
      <c r="A76" s="154" t="e">
        <f t="shared" si="2"/>
        <v>#REF!</v>
      </c>
      <c r="B76" s="101"/>
      <c r="C76" s="98" t="s">
        <v>112</v>
      </c>
      <c r="D76" s="101"/>
      <c r="E76" s="102"/>
      <c r="F76" s="103"/>
      <c r="G76" s="103"/>
      <c r="H76" s="90">
        <f t="shared" si="7"/>
        <v>0</v>
      </c>
      <c r="I76" s="91">
        <f t="shared" si="8"/>
        <v>0</v>
      </c>
      <c r="J76" s="91" t="str">
        <f>IFERROR(#REF!/H76,"")</f>
        <v/>
      </c>
      <c r="K76" s="92"/>
    </row>
    <row r="77" spans="1:11" ht="14.25" customHeight="1">
      <c r="A77" s="154" t="e">
        <f t="shared" ref="A77:A140" si="9">A76+1</f>
        <v>#REF!</v>
      </c>
      <c r="B77" s="98"/>
      <c r="C77" s="98" t="s">
        <v>112</v>
      </c>
      <c r="D77" s="98"/>
      <c r="E77" s="143"/>
      <c r="F77" s="89"/>
      <c r="G77" s="89"/>
      <c r="H77" s="104">
        <f t="shared" si="7"/>
        <v>0</v>
      </c>
      <c r="I77" s="105">
        <f t="shared" si="8"/>
        <v>0</v>
      </c>
      <c r="J77" s="105" t="str">
        <f>IFERROR(#REF!/H77,"")</f>
        <v/>
      </c>
      <c r="K77" s="92"/>
    </row>
    <row r="78" spans="1:11">
      <c r="A78" s="167" t="e">
        <f t="shared" si="9"/>
        <v>#REF!</v>
      </c>
      <c r="B78" s="15" t="s">
        <v>171</v>
      </c>
      <c r="C78" s="15"/>
      <c r="D78" s="15"/>
      <c r="E78" s="108"/>
      <c r="F78" s="109">
        <f>SUM(F42:F77)</f>
        <v>0</v>
      </c>
      <c r="G78" s="109">
        <f>SUM(G42:G77)</f>
        <v>79962</v>
      </c>
      <c r="H78" s="110">
        <f t="shared" si="7"/>
        <v>79962</v>
      </c>
      <c r="I78" s="111">
        <f t="shared" si="8"/>
        <v>8.5279337235295127E-2</v>
      </c>
      <c r="J78" s="111" t="str">
        <f>IFERROR(#REF!/H78,"")</f>
        <v/>
      </c>
      <c r="K78" s="112"/>
    </row>
    <row r="79" spans="1:11" ht="18" customHeight="1">
      <c r="A79" s="154" t="e">
        <f t="shared" si="9"/>
        <v>#REF!</v>
      </c>
      <c r="B79" s="14"/>
      <c r="C79" s="14"/>
      <c r="D79" s="14"/>
      <c r="E79" s="168"/>
      <c r="F79" s="169"/>
      <c r="G79" s="169"/>
      <c r="H79" s="170"/>
      <c r="I79" s="171"/>
      <c r="J79" s="171"/>
      <c r="K79" s="172"/>
    </row>
    <row r="80" spans="1:11">
      <c r="A80" s="167" t="e">
        <f t="shared" si="9"/>
        <v>#REF!</v>
      </c>
      <c r="B80" s="15" t="s">
        <v>172</v>
      </c>
      <c r="C80" s="15"/>
      <c r="D80" s="15"/>
      <c r="E80" s="124"/>
      <c r="F80" s="125"/>
      <c r="G80" s="125"/>
      <c r="H80" s="83"/>
      <c r="I80" s="84"/>
      <c r="J80" s="84"/>
      <c r="K80" s="173"/>
    </row>
    <row r="81" spans="1:12" ht="18" customHeight="1">
      <c r="A81" s="154" t="e">
        <f t="shared" si="9"/>
        <v>#REF!</v>
      </c>
      <c r="B81" s="98"/>
      <c r="C81" s="98"/>
      <c r="D81" s="98"/>
      <c r="E81" s="99"/>
      <c r="F81" s="89"/>
      <c r="G81" s="89"/>
      <c r="H81" s="90">
        <f>G81+F81</f>
        <v>0</v>
      </c>
      <c r="I81" s="91">
        <f>H81/$H$83</f>
        <v>0</v>
      </c>
      <c r="J81" s="91" t="str">
        <f>IFERROR(#REF!/H81,"")</f>
        <v/>
      </c>
      <c r="K81" s="92"/>
    </row>
    <row r="82" spans="1:12">
      <c r="A82" s="154" t="e">
        <f t="shared" si="9"/>
        <v>#REF!</v>
      </c>
      <c r="B82" s="98"/>
      <c r="C82" s="98"/>
      <c r="D82" s="98"/>
      <c r="E82" s="143"/>
      <c r="F82" s="89"/>
      <c r="G82" s="89"/>
      <c r="H82" s="104">
        <f>G82+F82</f>
        <v>0</v>
      </c>
      <c r="I82" s="105">
        <f>H82/$H$83</f>
        <v>0</v>
      </c>
      <c r="J82" s="105" t="str">
        <f>IFERROR(#REF!/H82,"")</f>
        <v/>
      </c>
      <c r="K82" s="92"/>
    </row>
    <row r="83" spans="1:12" ht="18.75" customHeight="1" thickBot="1">
      <c r="A83" s="174" t="e">
        <f t="shared" si="9"/>
        <v>#REF!</v>
      </c>
      <c r="B83" s="39" t="s">
        <v>173</v>
      </c>
      <c r="C83" s="39"/>
      <c r="D83" s="39"/>
      <c r="E83" s="175"/>
      <c r="F83" s="176">
        <f>F21+F38+F78+F81+F82</f>
        <v>857686</v>
      </c>
      <c r="G83" s="176">
        <f>G21+G38+G78+G81+G82</f>
        <v>79962</v>
      </c>
      <c r="H83" s="177">
        <f>G83+F83</f>
        <v>937648</v>
      </c>
      <c r="I83" s="178">
        <f>H83/$H$83</f>
        <v>1</v>
      </c>
      <c r="J83" s="178" t="str">
        <f>IFERROR(#REF!/H83,"")</f>
        <v/>
      </c>
      <c r="K83" s="179"/>
    </row>
    <row r="84" spans="1:12" ht="20.25" customHeight="1" thickTop="1">
      <c r="A84" s="180" t="e">
        <f t="shared" si="9"/>
        <v>#REF!</v>
      </c>
      <c r="B84" s="336" t="s">
        <v>3</v>
      </c>
      <c r="C84" s="337"/>
      <c r="D84" s="337"/>
      <c r="E84" s="70"/>
      <c r="F84" s="181"/>
      <c r="G84" s="182"/>
      <c r="H84" s="183"/>
      <c r="I84" s="184"/>
      <c r="J84" s="184"/>
      <c r="K84" s="185"/>
    </row>
    <row r="85" spans="1:12" ht="17.25" customHeight="1">
      <c r="A85" s="186" t="e">
        <f t="shared" si="9"/>
        <v>#REF!</v>
      </c>
      <c r="B85" s="6"/>
      <c r="C85" s="7"/>
      <c r="D85" s="7" t="s">
        <v>4</v>
      </c>
      <c r="E85" s="187"/>
      <c r="F85" s="188"/>
      <c r="G85" s="188"/>
      <c r="H85" s="189"/>
      <c r="I85" s="91"/>
      <c r="J85" s="91"/>
      <c r="K85" s="190"/>
    </row>
    <row r="86" spans="1:12" ht="17.25" customHeight="1">
      <c r="A86" s="154" t="e">
        <f t="shared" si="9"/>
        <v>#REF!</v>
      </c>
      <c r="B86" s="9"/>
      <c r="C86" s="10" t="s">
        <v>174</v>
      </c>
      <c r="D86" s="20"/>
      <c r="E86" s="191"/>
      <c r="F86" s="192"/>
      <c r="G86" s="192"/>
      <c r="H86" s="83"/>
      <c r="I86" s="84"/>
      <c r="J86" s="84"/>
      <c r="K86" s="173"/>
    </row>
    <row r="87" spans="1:12" ht="15" customHeight="1">
      <c r="A87" s="154" t="e">
        <f t="shared" si="9"/>
        <v>#REF!</v>
      </c>
      <c r="B87" s="9"/>
      <c r="C87" s="12"/>
      <c r="D87" s="14" t="s">
        <v>175</v>
      </c>
      <c r="E87" s="87">
        <v>111</v>
      </c>
      <c r="F87" s="193">
        <v>95449</v>
      </c>
      <c r="G87" s="194"/>
      <c r="H87" s="90">
        <f t="shared" ref="H87:H95" si="10">G87+F87</f>
        <v>95449</v>
      </c>
      <c r="I87" s="91">
        <f>H87/$H$154</f>
        <v>0.10192182186222418</v>
      </c>
      <c r="J87" s="91" t="str">
        <f>IFERROR(#REF!/H87,"")</f>
        <v/>
      </c>
      <c r="K87" s="92"/>
    </row>
    <row r="88" spans="1:12" ht="15" customHeight="1">
      <c r="A88" s="154" t="e">
        <f t="shared" si="9"/>
        <v>#REF!</v>
      </c>
      <c r="B88" s="9"/>
      <c r="C88" s="12"/>
      <c r="D88" s="14" t="s">
        <v>176</v>
      </c>
      <c r="E88" s="87">
        <v>111</v>
      </c>
      <c r="F88" s="194"/>
      <c r="G88" s="194"/>
      <c r="H88" s="90">
        <f t="shared" si="10"/>
        <v>0</v>
      </c>
      <c r="I88" s="91">
        <f t="shared" ref="I88:I95" si="11">H88/$H$154</f>
        <v>0</v>
      </c>
      <c r="J88" s="91" t="str">
        <f>IFERROR(#REF!/H88,"")</f>
        <v/>
      </c>
      <c r="K88" s="92"/>
    </row>
    <row r="89" spans="1:12" ht="15" customHeight="1">
      <c r="A89" s="154" t="e">
        <f t="shared" si="9"/>
        <v>#REF!</v>
      </c>
      <c r="B89" s="9"/>
      <c r="C89" s="12"/>
      <c r="D89" s="14" t="s">
        <v>177</v>
      </c>
      <c r="E89" s="87">
        <v>111</v>
      </c>
      <c r="F89" s="194"/>
      <c r="G89" s="194"/>
      <c r="H89" s="90">
        <f t="shared" si="10"/>
        <v>0</v>
      </c>
      <c r="I89" s="91">
        <f t="shared" si="11"/>
        <v>0</v>
      </c>
      <c r="J89" s="91" t="str">
        <f>IFERROR(#REF!/H89,"")</f>
        <v/>
      </c>
      <c r="K89" s="92"/>
    </row>
    <row r="90" spans="1:12">
      <c r="A90" s="154" t="e">
        <f t="shared" si="9"/>
        <v>#REF!</v>
      </c>
      <c r="B90" s="9"/>
      <c r="C90" s="14" t="s">
        <v>178</v>
      </c>
      <c r="D90" s="14"/>
      <c r="E90" s="87">
        <v>112</v>
      </c>
      <c r="F90" s="194">
        <f>52327+52327</f>
        <v>104654</v>
      </c>
      <c r="G90" s="194"/>
      <c r="H90" s="90">
        <f t="shared" si="10"/>
        <v>104654</v>
      </c>
      <c r="I90" s="91">
        <f t="shared" si="11"/>
        <v>0.11175105391538108</v>
      </c>
      <c r="J90" s="91" t="str">
        <f>IFERROR(#REF!/H90,"")</f>
        <v/>
      </c>
      <c r="K90" s="204"/>
    </row>
    <row r="91" spans="1:12" ht="15" customHeight="1">
      <c r="A91" s="154" t="e">
        <f t="shared" si="9"/>
        <v>#REF!</v>
      </c>
      <c r="B91" s="14"/>
      <c r="C91" s="14" t="s">
        <v>179</v>
      </c>
      <c r="D91" s="14"/>
      <c r="E91" s="87">
        <v>113</v>
      </c>
      <c r="F91" s="194">
        <v>64439</v>
      </c>
      <c r="G91" s="195"/>
      <c r="H91" s="90">
        <f t="shared" si="10"/>
        <v>64439</v>
      </c>
      <c r="I91" s="91">
        <f t="shared" si="11"/>
        <v>6.8808895629916114E-2</v>
      </c>
      <c r="J91" s="91" t="str">
        <f>IFERROR(#REF!/H91,"")</f>
        <v/>
      </c>
      <c r="K91" s="92"/>
      <c r="L91" s="3"/>
    </row>
    <row r="92" spans="1:12" ht="15" customHeight="1">
      <c r="A92" s="154" t="e">
        <f t="shared" si="9"/>
        <v>#REF!</v>
      </c>
      <c r="B92" s="14"/>
      <c r="C92" s="14" t="s">
        <v>10</v>
      </c>
      <c r="D92" s="14"/>
      <c r="E92" s="87">
        <v>114</v>
      </c>
      <c r="F92" s="194">
        <v>49508</v>
      </c>
      <c r="G92" s="195"/>
      <c r="H92" s="90">
        <v>49604</v>
      </c>
      <c r="I92" s="91">
        <f t="shared" si="11"/>
        <v>5.2967868198239565E-2</v>
      </c>
      <c r="J92" s="91" t="str">
        <f>IFERROR(#REF!/H92,"")</f>
        <v/>
      </c>
      <c r="K92" s="92"/>
      <c r="L92" s="3"/>
    </row>
    <row r="93" spans="1:12" ht="15" customHeight="1">
      <c r="A93" s="154" t="e">
        <f t="shared" si="9"/>
        <v>#REF!</v>
      </c>
      <c r="B93" s="14"/>
      <c r="C93" s="14" t="s">
        <v>11</v>
      </c>
      <c r="D93" s="14"/>
      <c r="E93" s="87">
        <v>116</v>
      </c>
      <c r="F93" s="195"/>
      <c r="G93" s="195"/>
      <c r="H93" s="90">
        <f t="shared" si="10"/>
        <v>0</v>
      </c>
      <c r="I93" s="91">
        <f t="shared" si="11"/>
        <v>0</v>
      </c>
      <c r="J93" s="91" t="str">
        <f>IFERROR(#REF!/H93,"")</f>
        <v/>
      </c>
      <c r="K93" s="92"/>
      <c r="L93" s="3"/>
    </row>
    <row r="94" spans="1:12">
      <c r="A94" s="154" t="e">
        <f t="shared" si="9"/>
        <v>#REF!</v>
      </c>
      <c r="B94" s="14"/>
      <c r="C94" s="12" t="s">
        <v>180</v>
      </c>
      <c r="D94" s="14"/>
      <c r="E94" s="87" t="s">
        <v>181</v>
      </c>
      <c r="F94" s="194"/>
      <c r="G94" s="194">
        <v>23281</v>
      </c>
      <c r="H94" s="104">
        <f t="shared" si="10"/>
        <v>23281</v>
      </c>
      <c r="I94" s="105">
        <f t="shared" si="11"/>
        <v>2.4859788313910475E-2</v>
      </c>
      <c r="J94" s="105" t="str">
        <f>IFERROR(#REF!/H94,"")</f>
        <v/>
      </c>
      <c r="K94" s="165"/>
    </row>
    <row r="95" spans="1:12" ht="15" customHeight="1">
      <c r="A95" s="167" t="e">
        <f t="shared" si="9"/>
        <v>#REF!</v>
      </c>
      <c r="B95" s="15"/>
      <c r="C95" s="15"/>
      <c r="D95" s="16" t="s">
        <v>12</v>
      </c>
      <c r="E95" s="196" t="s">
        <v>13</v>
      </c>
      <c r="F95" s="197">
        <f>SUM(F87:F94)</f>
        <v>314050</v>
      </c>
      <c r="G95" s="197">
        <f>SUM(G87:G94)</f>
        <v>23281</v>
      </c>
      <c r="H95" s="110">
        <f t="shared" si="10"/>
        <v>337331</v>
      </c>
      <c r="I95" s="111">
        <f t="shared" si="11"/>
        <v>0.36020691773204477</v>
      </c>
      <c r="J95" s="111" t="str">
        <f>IFERROR(#REF!/H95,"")</f>
        <v/>
      </c>
      <c r="K95" s="112"/>
    </row>
    <row r="96" spans="1:12" ht="17.25" customHeight="1">
      <c r="A96" s="186" t="e">
        <f t="shared" si="9"/>
        <v>#REF!</v>
      </c>
      <c r="B96" s="6" t="s">
        <v>14</v>
      </c>
      <c r="C96" s="18"/>
      <c r="D96" s="6"/>
      <c r="E96" s="132"/>
      <c r="F96" s="198"/>
      <c r="G96" s="198"/>
      <c r="H96" s="199"/>
      <c r="I96" s="200"/>
      <c r="J96" s="200"/>
      <c r="K96" s="160"/>
    </row>
    <row r="97" spans="1:11" ht="17.25" customHeight="1">
      <c r="A97" s="154" t="e">
        <f t="shared" si="9"/>
        <v>#REF!</v>
      </c>
      <c r="B97" s="20"/>
      <c r="C97" s="20" t="s">
        <v>15</v>
      </c>
      <c r="D97" s="20"/>
      <c r="E97" s="81">
        <v>210</v>
      </c>
      <c r="F97" s="201">
        <f>(795*0.8)*12*5</f>
        <v>38160</v>
      </c>
      <c r="G97" s="202"/>
      <c r="H97" s="83">
        <f t="shared" ref="H97:H104" si="12">G97+F97</f>
        <v>38160</v>
      </c>
      <c r="I97" s="84">
        <f t="shared" ref="I97:I104" si="13">H97/$H$154</f>
        <v>4.0747799581582568E-2</v>
      </c>
      <c r="J97" s="84" t="str">
        <f>IFERROR(#REF!/H97,"")</f>
        <v/>
      </c>
      <c r="K97" s="85"/>
    </row>
    <row r="98" spans="1:11" ht="15" customHeight="1">
      <c r="A98" s="154" t="e">
        <f t="shared" si="9"/>
        <v>#REF!</v>
      </c>
      <c r="B98" s="14"/>
      <c r="C98" s="14" t="s">
        <v>16</v>
      </c>
      <c r="D98" s="14"/>
      <c r="E98" s="87">
        <v>220</v>
      </c>
      <c r="F98" s="194">
        <f>H95*0.062</f>
        <v>20914.522000000001</v>
      </c>
      <c r="G98" s="193"/>
      <c r="H98" s="90">
        <f t="shared" si="12"/>
        <v>20914.522000000001</v>
      </c>
      <c r="I98" s="91">
        <f t="shared" si="13"/>
        <v>2.2332828899386779E-2</v>
      </c>
      <c r="J98" s="91" t="str">
        <f>IFERROR(#REF!/H98,"")</f>
        <v/>
      </c>
      <c r="K98" s="85"/>
    </row>
    <row r="99" spans="1:11" ht="15" customHeight="1">
      <c r="A99" s="154" t="e">
        <f t="shared" si="9"/>
        <v>#REF!</v>
      </c>
      <c r="B99" s="14"/>
      <c r="C99" s="14" t="s">
        <v>17</v>
      </c>
      <c r="D99" s="14"/>
      <c r="E99" s="87">
        <v>225</v>
      </c>
      <c r="F99" s="194">
        <f>(H95)*0.0145</f>
        <v>4891.2995000000001</v>
      </c>
      <c r="G99" s="193"/>
      <c r="H99" s="90">
        <f t="shared" si="12"/>
        <v>4891.2995000000001</v>
      </c>
      <c r="I99" s="91">
        <f t="shared" si="13"/>
        <v>5.2230003071146499E-3</v>
      </c>
      <c r="J99" s="91" t="str">
        <f>IFERROR(#REF!/H99,"")</f>
        <v/>
      </c>
      <c r="K99" s="85"/>
    </row>
    <row r="100" spans="1:11" ht="15" customHeight="1">
      <c r="A100" s="154" t="e">
        <f t="shared" si="9"/>
        <v>#REF!</v>
      </c>
      <c r="B100" s="14"/>
      <c r="C100" s="14" t="s">
        <v>18</v>
      </c>
      <c r="D100" s="14"/>
      <c r="E100" s="87" t="s">
        <v>19</v>
      </c>
      <c r="F100" s="194">
        <f>F95*0.08</f>
        <v>25124</v>
      </c>
      <c r="G100" s="193"/>
      <c r="H100" s="90">
        <f t="shared" si="12"/>
        <v>25124</v>
      </c>
      <c r="I100" s="91">
        <f t="shared" si="13"/>
        <v>2.6827770353450745E-2</v>
      </c>
      <c r="J100" s="91" t="str">
        <f>IFERROR(#REF!/H100,"")</f>
        <v/>
      </c>
      <c r="K100" s="85"/>
    </row>
    <row r="101" spans="1:11" ht="15" customHeight="1">
      <c r="A101" s="154" t="e">
        <f t="shared" si="9"/>
        <v>#REF!</v>
      </c>
      <c r="B101" s="14"/>
      <c r="C101" s="14" t="s">
        <v>20</v>
      </c>
      <c r="D101" s="14"/>
      <c r="E101" s="87">
        <v>250</v>
      </c>
      <c r="F101" s="194">
        <v>3200</v>
      </c>
      <c r="G101" s="194"/>
      <c r="H101" s="90">
        <f t="shared" si="12"/>
        <v>3200</v>
      </c>
      <c r="I101" s="91">
        <f t="shared" si="13"/>
        <v>3.4170062542207605E-3</v>
      </c>
      <c r="J101" s="91" t="str">
        <f>IFERROR(#REF!/H101,"")</f>
        <v/>
      </c>
      <c r="K101" s="92"/>
    </row>
    <row r="102" spans="1:11" ht="15" customHeight="1">
      <c r="A102" s="154" t="e">
        <f t="shared" si="9"/>
        <v>#REF!</v>
      </c>
      <c r="B102" s="14"/>
      <c r="C102" s="12" t="s">
        <v>22</v>
      </c>
      <c r="D102" s="14"/>
      <c r="E102" s="87">
        <v>270</v>
      </c>
      <c r="F102" s="195"/>
      <c r="G102" s="195"/>
      <c r="H102" s="90">
        <f t="shared" si="12"/>
        <v>0</v>
      </c>
      <c r="I102" s="91">
        <f t="shared" si="13"/>
        <v>0</v>
      </c>
      <c r="J102" s="91" t="str">
        <f>IFERROR(#REF!/H102,"")</f>
        <v/>
      </c>
      <c r="K102" s="92"/>
    </row>
    <row r="103" spans="1:11" ht="15" customHeight="1">
      <c r="A103" s="154" t="e">
        <f t="shared" si="9"/>
        <v>#REF!</v>
      </c>
      <c r="B103" s="14"/>
      <c r="C103" s="12" t="s">
        <v>182</v>
      </c>
      <c r="D103" s="14"/>
      <c r="E103" s="87" t="s">
        <v>25</v>
      </c>
      <c r="F103" s="195">
        <v>4250</v>
      </c>
      <c r="G103" s="195"/>
      <c r="H103" s="104">
        <f t="shared" si="12"/>
        <v>4250</v>
      </c>
      <c r="I103" s="105">
        <f t="shared" si="13"/>
        <v>4.5382114313869473E-3</v>
      </c>
      <c r="J103" s="105" t="str">
        <f>IFERROR(#REF!/H103,"")</f>
        <v/>
      </c>
      <c r="K103" s="92"/>
    </row>
    <row r="104" spans="1:11" ht="15" customHeight="1">
      <c r="A104" s="167" t="e">
        <f t="shared" si="9"/>
        <v>#REF!</v>
      </c>
      <c r="B104" s="15"/>
      <c r="C104" s="15"/>
      <c r="D104" s="16" t="s">
        <v>26</v>
      </c>
      <c r="E104" s="196" t="s">
        <v>27</v>
      </c>
      <c r="F104" s="197">
        <f>SUM(F97:F103)</f>
        <v>96539.821499999991</v>
      </c>
      <c r="G104" s="197">
        <f>SUM(G97:G103)</f>
        <v>0</v>
      </c>
      <c r="H104" s="110">
        <f t="shared" si="12"/>
        <v>96539.821499999991</v>
      </c>
      <c r="I104" s="111">
        <f t="shared" si="13"/>
        <v>0.10308661682714244</v>
      </c>
      <c r="J104" s="111" t="str">
        <f>IFERROR(#REF!/H104,"")</f>
        <v/>
      </c>
      <c r="K104" s="112"/>
    </row>
    <row r="105" spans="1:11" ht="17.25" customHeight="1">
      <c r="A105" s="186" t="e">
        <f t="shared" si="9"/>
        <v>#REF!</v>
      </c>
      <c r="B105" s="6" t="s">
        <v>28</v>
      </c>
      <c r="C105" s="18"/>
      <c r="D105" s="6"/>
      <c r="E105" s="132"/>
      <c r="F105" s="198"/>
      <c r="G105" s="198"/>
      <c r="H105" s="199"/>
      <c r="I105" s="200"/>
      <c r="J105" s="200"/>
      <c r="K105" s="160"/>
    </row>
    <row r="106" spans="1:11" ht="17.25" customHeight="1">
      <c r="A106" s="154" t="e">
        <f t="shared" si="9"/>
        <v>#REF!</v>
      </c>
      <c r="B106" s="20"/>
      <c r="C106" s="20" t="s">
        <v>29</v>
      </c>
      <c r="D106" s="20"/>
      <c r="E106" s="81">
        <v>332</v>
      </c>
      <c r="F106" s="203"/>
      <c r="G106" s="203"/>
      <c r="H106" s="83">
        <f>G106+F106</f>
        <v>0</v>
      </c>
      <c r="I106" s="84">
        <f t="shared" ref="I106:I110" si="14">H106/$H$154</f>
        <v>0</v>
      </c>
      <c r="J106" s="84" t="str">
        <f>IFERROR(#REF!/H106,"")</f>
        <v/>
      </c>
      <c r="K106" s="85"/>
    </row>
    <row r="107" spans="1:11" ht="15" customHeight="1">
      <c r="A107" s="154" t="e">
        <f t="shared" si="9"/>
        <v>#REF!</v>
      </c>
      <c r="B107" s="14"/>
      <c r="C107" s="14" t="s">
        <v>183</v>
      </c>
      <c r="D107" s="14"/>
      <c r="E107" s="87">
        <v>333</v>
      </c>
      <c r="F107" s="195"/>
      <c r="G107" s="195"/>
      <c r="H107" s="90">
        <f>G107+F107</f>
        <v>0</v>
      </c>
      <c r="I107" s="91">
        <f t="shared" si="14"/>
        <v>0</v>
      </c>
      <c r="J107" s="91" t="str">
        <f>IFERROR(#REF!/H107,"")</f>
        <v/>
      </c>
      <c r="K107" s="92"/>
    </row>
    <row r="108" spans="1:11" ht="15" customHeight="1">
      <c r="A108" s="154" t="e">
        <f t="shared" si="9"/>
        <v>#REF!</v>
      </c>
      <c r="B108" s="14"/>
      <c r="C108" s="14" t="s">
        <v>184</v>
      </c>
      <c r="D108" s="14"/>
      <c r="E108" s="87" t="s">
        <v>31</v>
      </c>
      <c r="F108" s="195">
        <f>70000-G108</f>
        <v>54219</v>
      </c>
      <c r="G108" s="194">
        <v>15781</v>
      </c>
      <c r="H108" s="90">
        <f>G108+F108</f>
        <v>70000</v>
      </c>
      <c r="I108" s="91">
        <f t="shared" si="14"/>
        <v>7.4747011811079137E-2</v>
      </c>
      <c r="J108" s="91" t="str">
        <f>IFERROR(#REF!/H108,"")</f>
        <v/>
      </c>
      <c r="K108" s="92" t="s">
        <v>185</v>
      </c>
    </row>
    <row r="109" spans="1:11" ht="28.5">
      <c r="A109" s="154" t="e">
        <f t="shared" si="9"/>
        <v>#REF!</v>
      </c>
      <c r="B109" s="14"/>
      <c r="C109" s="12" t="s">
        <v>186</v>
      </c>
      <c r="D109" s="14"/>
      <c r="E109" s="87" t="s">
        <v>31</v>
      </c>
      <c r="F109" s="194">
        <v>15000</v>
      </c>
      <c r="G109" s="194">
        <f>3745+31655</f>
        <v>35400</v>
      </c>
      <c r="H109" s="104">
        <f>G109+F109</f>
        <v>50400</v>
      </c>
      <c r="I109" s="105">
        <f t="shared" si="14"/>
        <v>5.381784850397698E-2</v>
      </c>
      <c r="J109" s="105" t="str">
        <f>IFERROR(#REF!/H109,"")</f>
        <v/>
      </c>
      <c r="K109" s="204" t="s">
        <v>187</v>
      </c>
    </row>
    <row r="110" spans="1:11" ht="15" customHeight="1">
      <c r="A110" s="167" t="e">
        <f t="shared" si="9"/>
        <v>#REF!</v>
      </c>
      <c r="B110" s="15"/>
      <c r="C110" s="15"/>
      <c r="D110" s="16" t="s">
        <v>33</v>
      </c>
      <c r="E110" s="196" t="s">
        <v>34</v>
      </c>
      <c r="F110" s="197">
        <f>SUM(F106:F109)</f>
        <v>69219</v>
      </c>
      <c r="G110" s="197">
        <f>SUM(G106:G109)</f>
        <v>51181</v>
      </c>
      <c r="H110" s="110">
        <f>G110+F110</f>
        <v>120400</v>
      </c>
      <c r="I110" s="111">
        <f t="shared" si="14"/>
        <v>0.12856486031505612</v>
      </c>
      <c r="J110" s="111" t="str">
        <f>IFERROR(#REF!/H110,"")</f>
        <v/>
      </c>
      <c r="K110" s="112"/>
    </row>
    <row r="111" spans="1:11" ht="17.25" customHeight="1">
      <c r="A111" s="186" t="e">
        <f t="shared" si="9"/>
        <v>#REF!</v>
      </c>
      <c r="B111" s="6" t="s">
        <v>35</v>
      </c>
      <c r="C111" s="6"/>
      <c r="D111" s="6"/>
      <c r="E111" s="132"/>
      <c r="F111" s="198"/>
      <c r="G111" s="198"/>
      <c r="H111" s="199"/>
      <c r="I111" s="200"/>
      <c r="J111" s="200"/>
      <c r="K111" s="160"/>
    </row>
    <row r="112" spans="1:11" ht="17.25" customHeight="1">
      <c r="A112" s="154" t="e">
        <f t="shared" si="9"/>
        <v>#REF!</v>
      </c>
      <c r="B112" s="26"/>
      <c r="C112" s="20" t="s">
        <v>36</v>
      </c>
      <c r="D112" s="20"/>
      <c r="E112" s="81">
        <v>411</v>
      </c>
      <c r="F112" s="201">
        <v>800</v>
      </c>
      <c r="G112" s="203"/>
      <c r="H112" s="83">
        <f t="shared" ref="H112:H117" si="15">G112+F112</f>
        <v>800</v>
      </c>
      <c r="I112" s="84">
        <f t="shared" ref="I112:I117" si="16">H112/$H$154</f>
        <v>8.5425156355519013E-4</v>
      </c>
      <c r="J112" s="84" t="str">
        <f>IFERROR(#REF!/H112,"")</f>
        <v/>
      </c>
      <c r="K112" s="85" t="s">
        <v>188</v>
      </c>
    </row>
    <row r="113" spans="1:11" ht="15" customHeight="1">
      <c r="A113" s="154" t="e">
        <f t="shared" si="9"/>
        <v>#REF!</v>
      </c>
      <c r="B113" s="27"/>
      <c r="C113" s="28" t="s">
        <v>37</v>
      </c>
      <c r="D113" s="14"/>
      <c r="E113" s="87">
        <v>441</v>
      </c>
      <c r="F113" s="194">
        <f>62500</f>
        <v>62500</v>
      </c>
      <c r="G113" s="195"/>
      <c r="H113" s="90">
        <f t="shared" si="15"/>
        <v>62500</v>
      </c>
      <c r="I113" s="91">
        <f t="shared" si="16"/>
        <v>6.6738403402749225E-2</v>
      </c>
      <c r="J113" s="91" t="str">
        <f>IFERROR(#REF!/H113,"")</f>
        <v/>
      </c>
      <c r="K113" s="92" t="s">
        <v>189</v>
      </c>
    </row>
    <row r="114" spans="1:11" ht="15" customHeight="1">
      <c r="A114" s="154" t="e">
        <f t="shared" si="9"/>
        <v>#REF!</v>
      </c>
      <c r="B114" s="27"/>
      <c r="C114" s="14" t="s">
        <v>38</v>
      </c>
      <c r="D114" s="14"/>
      <c r="E114" s="87">
        <v>442</v>
      </c>
      <c r="F114" s="194">
        <f>2575*1.03</f>
        <v>2652.25</v>
      </c>
      <c r="G114" s="195"/>
      <c r="H114" s="90">
        <f t="shared" si="15"/>
        <v>2652.25</v>
      </c>
      <c r="I114" s="91">
        <f t="shared" si="16"/>
        <v>2.8321108867990661E-3</v>
      </c>
      <c r="J114" s="91" t="str">
        <f>IFERROR(#REF!/H114,"")</f>
        <v/>
      </c>
      <c r="K114" s="92" t="s">
        <v>190</v>
      </c>
    </row>
    <row r="115" spans="1:11" ht="15" customHeight="1">
      <c r="A115" s="154" t="e">
        <f t="shared" si="9"/>
        <v>#REF!</v>
      </c>
      <c r="B115" s="27"/>
      <c r="C115" s="14" t="s">
        <v>39</v>
      </c>
      <c r="D115" s="14"/>
      <c r="E115" s="87">
        <v>430</v>
      </c>
      <c r="F115" s="194">
        <v>5500</v>
      </c>
      <c r="G115" s="195"/>
      <c r="H115" s="90">
        <f t="shared" si="15"/>
        <v>5500</v>
      </c>
      <c r="I115" s="91">
        <f t="shared" si="16"/>
        <v>5.8729794994419318E-3</v>
      </c>
      <c r="J115" s="91" t="str">
        <f>IFERROR(#REF!/H115,"")</f>
        <v/>
      </c>
      <c r="K115" s="92" t="s">
        <v>191</v>
      </c>
    </row>
    <row r="116" spans="1:11" ht="15" customHeight="1">
      <c r="A116" s="154" t="e">
        <f t="shared" si="9"/>
        <v>#REF!</v>
      </c>
      <c r="B116" s="14"/>
      <c r="C116" s="12" t="s">
        <v>192</v>
      </c>
      <c r="D116" s="14"/>
      <c r="E116" s="205" t="s">
        <v>41</v>
      </c>
      <c r="F116" s="194">
        <v>10276</v>
      </c>
      <c r="G116" s="195"/>
      <c r="H116" s="104">
        <f t="shared" si="15"/>
        <v>10276</v>
      </c>
      <c r="I116" s="105">
        <f t="shared" si="16"/>
        <v>1.0972861333866418E-2</v>
      </c>
      <c r="J116" s="105" t="str">
        <f>IFERROR(#REF!/H116,"")</f>
        <v/>
      </c>
      <c r="K116" s="92" t="s">
        <v>193</v>
      </c>
    </row>
    <row r="117" spans="1:11" ht="15" customHeight="1" thickBot="1">
      <c r="A117" s="174" t="e">
        <f t="shared" si="9"/>
        <v>#REF!</v>
      </c>
      <c r="B117" s="30"/>
      <c r="C117" s="30" t="s">
        <v>42</v>
      </c>
      <c r="D117" s="31"/>
      <c r="E117" s="206">
        <v>400</v>
      </c>
      <c r="F117" s="207">
        <f>SUM(F112:F116)</f>
        <v>81728.25</v>
      </c>
      <c r="G117" s="207">
        <f>SUM(G112:G116)</f>
        <v>0</v>
      </c>
      <c r="H117" s="177">
        <f t="shared" si="15"/>
        <v>81728.25</v>
      </c>
      <c r="I117" s="178">
        <f t="shared" si="16"/>
        <v>8.7270606686411831E-2</v>
      </c>
      <c r="J117" s="178" t="str">
        <f>IFERROR(#REF!/H117,"")</f>
        <v/>
      </c>
      <c r="K117" s="179"/>
    </row>
    <row r="118" spans="1:11" ht="17.25" customHeight="1" thickTop="1">
      <c r="A118" s="208" t="e">
        <f t="shared" si="9"/>
        <v>#REF!</v>
      </c>
      <c r="B118" s="33" t="s">
        <v>43</v>
      </c>
      <c r="C118" s="33"/>
      <c r="D118" s="33"/>
      <c r="E118" s="209"/>
      <c r="F118" s="210"/>
      <c r="G118" s="210"/>
      <c r="H118" s="211"/>
      <c r="I118" s="212"/>
      <c r="J118" s="212"/>
      <c r="K118" s="173"/>
    </row>
    <row r="119" spans="1:11" ht="17.25" customHeight="1">
      <c r="A119" s="154" t="e">
        <f t="shared" si="9"/>
        <v>#REF!</v>
      </c>
      <c r="B119" s="26"/>
      <c r="C119" s="10" t="s">
        <v>44</v>
      </c>
      <c r="D119" s="20"/>
      <c r="E119" s="81" t="s">
        <v>45</v>
      </c>
      <c r="F119" s="201">
        <v>3500</v>
      </c>
      <c r="G119" s="203"/>
      <c r="H119" s="83">
        <f t="shared" ref="H119:H128" si="17">G119+F119</f>
        <v>3500</v>
      </c>
      <c r="I119" s="84">
        <f t="shared" ref="I119:I128" si="18">H119/$H$154</f>
        <v>3.7373505905539568E-3</v>
      </c>
      <c r="J119" s="84" t="str">
        <f>IFERROR(#REF!/H119,"")</f>
        <v/>
      </c>
      <c r="K119" s="85"/>
    </row>
    <row r="120" spans="1:11" ht="15" customHeight="1">
      <c r="A120" s="154" t="e">
        <f t="shared" si="9"/>
        <v>#REF!</v>
      </c>
      <c r="B120" s="26"/>
      <c r="C120" s="10" t="s">
        <v>194</v>
      </c>
      <c r="D120" s="20"/>
      <c r="E120" s="81">
        <v>522</v>
      </c>
      <c r="F120" s="201">
        <v>22750</v>
      </c>
      <c r="G120" s="203"/>
      <c r="H120" s="83">
        <f t="shared" si="17"/>
        <v>22750</v>
      </c>
      <c r="I120" s="84">
        <f t="shared" si="18"/>
        <v>2.4292778838600718E-2</v>
      </c>
      <c r="J120" s="84" t="str">
        <f>IFERROR(#REF!/H120,"")</f>
        <v/>
      </c>
      <c r="K120" s="85"/>
    </row>
    <row r="121" spans="1:11" ht="15" customHeight="1">
      <c r="A121" s="154" t="e">
        <f t="shared" si="9"/>
        <v>#REF!</v>
      </c>
      <c r="B121" s="26"/>
      <c r="C121" s="10" t="s">
        <v>195</v>
      </c>
      <c r="D121" s="20"/>
      <c r="E121" s="81">
        <v>521</v>
      </c>
      <c r="F121" s="203"/>
      <c r="G121" s="203"/>
      <c r="H121" s="83">
        <f t="shared" si="17"/>
        <v>0</v>
      </c>
      <c r="I121" s="84">
        <f t="shared" si="18"/>
        <v>0</v>
      </c>
      <c r="J121" s="84" t="str">
        <f>IFERROR(#REF!/H121,"")</f>
        <v/>
      </c>
      <c r="K121" s="85"/>
    </row>
    <row r="122" spans="1:11" ht="15" customHeight="1">
      <c r="A122" s="154" t="e">
        <f t="shared" si="9"/>
        <v>#REF!</v>
      </c>
      <c r="B122" s="26"/>
      <c r="C122" s="10" t="s">
        <v>196</v>
      </c>
      <c r="D122" s="20"/>
      <c r="E122" s="81">
        <v>523</v>
      </c>
      <c r="F122" s="203"/>
      <c r="G122" s="203"/>
      <c r="H122" s="83">
        <f t="shared" si="17"/>
        <v>0</v>
      </c>
      <c r="I122" s="84">
        <f t="shared" si="18"/>
        <v>0</v>
      </c>
      <c r="J122" s="84" t="str">
        <f>IFERROR(#REF!/H122,"")</f>
        <v/>
      </c>
      <c r="K122" s="85"/>
    </row>
    <row r="123" spans="1:11" ht="15" customHeight="1">
      <c r="A123" s="154" t="e">
        <f t="shared" si="9"/>
        <v>#REF!</v>
      </c>
      <c r="B123" s="26"/>
      <c r="C123" s="10" t="s">
        <v>197</v>
      </c>
      <c r="D123" s="20"/>
      <c r="E123" s="81">
        <v>524</v>
      </c>
      <c r="F123" s="203"/>
      <c r="G123" s="203"/>
      <c r="H123" s="83">
        <f t="shared" si="17"/>
        <v>0</v>
      </c>
      <c r="I123" s="84">
        <f t="shared" si="18"/>
        <v>0</v>
      </c>
      <c r="J123" s="84" t="str">
        <f>IFERROR(#REF!/H123,"")</f>
        <v/>
      </c>
      <c r="K123" s="85"/>
    </row>
    <row r="124" spans="1:11" ht="15" customHeight="1">
      <c r="A124" s="154" t="e">
        <f t="shared" si="9"/>
        <v>#REF!</v>
      </c>
      <c r="B124" s="27"/>
      <c r="C124" s="166" t="s">
        <v>198</v>
      </c>
      <c r="D124" s="14"/>
      <c r="E124" s="87">
        <v>525</v>
      </c>
      <c r="F124" s="195"/>
      <c r="G124" s="195"/>
      <c r="H124" s="90">
        <f t="shared" si="17"/>
        <v>0</v>
      </c>
      <c r="I124" s="91">
        <f t="shared" si="18"/>
        <v>0</v>
      </c>
      <c r="J124" s="91" t="str">
        <f>IFERROR(#REF!/H124,"")</f>
        <v/>
      </c>
      <c r="K124" s="92"/>
    </row>
    <row r="125" spans="1:11" ht="17.25" customHeight="1">
      <c r="A125" s="154" t="e">
        <f t="shared" si="9"/>
        <v>#REF!</v>
      </c>
      <c r="B125" s="14"/>
      <c r="C125" s="12" t="s">
        <v>199</v>
      </c>
      <c r="D125" s="14"/>
      <c r="E125" s="205" t="s">
        <v>200</v>
      </c>
      <c r="F125" s="195"/>
      <c r="G125" s="213"/>
      <c r="H125" s="90">
        <f t="shared" si="17"/>
        <v>0</v>
      </c>
      <c r="I125" s="91">
        <f t="shared" si="18"/>
        <v>0</v>
      </c>
      <c r="J125" s="91" t="str">
        <f>IFERROR(#REF!/H125,"")</f>
        <v/>
      </c>
      <c r="K125" s="92"/>
    </row>
    <row r="126" spans="1:11" ht="17.25" customHeight="1">
      <c r="A126" s="154" t="e">
        <f t="shared" si="9"/>
        <v>#REF!</v>
      </c>
      <c r="B126" s="14"/>
      <c r="C126" s="14" t="s">
        <v>201</v>
      </c>
      <c r="D126" s="14"/>
      <c r="E126" s="87" t="s">
        <v>50</v>
      </c>
      <c r="F126" s="194">
        <v>4500</v>
      </c>
      <c r="G126" s="201">
        <v>5500</v>
      </c>
      <c r="H126" s="90">
        <f t="shared" si="17"/>
        <v>10000</v>
      </c>
      <c r="I126" s="91">
        <f t="shared" si="18"/>
        <v>1.0678144544439876E-2</v>
      </c>
      <c r="J126" s="91" t="str">
        <f>IFERROR(#REF!/H126,"")</f>
        <v/>
      </c>
      <c r="K126" s="92"/>
    </row>
    <row r="127" spans="1:11">
      <c r="A127" s="154" t="e">
        <f t="shared" si="9"/>
        <v>#REF!</v>
      </c>
      <c r="B127" s="14"/>
      <c r="C127" s="12" t="s">
        <v>202</v>
      </c>
      <c r="D127" s="14"/>
      <c r="E127" s="87" t="s">
        <v>53</v>
      </c>
      <c r="F127" s="193">
        <v>53500</v>
      </c>
      <c r="G127" s="194"/>
      <c r="H127" s="104">
        <f t="shared" si="17"/>
        <v>53500</v>
      </c>
      <c r="I127" s="105">
        <f t="shared" si="18"/>
        <v>5.7128073312753339E-2</v>
      </c>
      <c r="J127" s="105" t="str">
        <f>IFERROR(#REF!/H127,"")</f>
        <v/>
      </c>
      <c r="K127" s="165" t="s">
        <v>203</v>
      </c>
    </row>
    <row r="128" spans="1:11" ht="15" customHeight="1">
      <c r="A128" s="167" t="e">
        <f t="shared" si="9"/>
        <v>#REF!</v>
      </c>
      <c r="B128" s="15"/>
      <c r="C128" s="15" t="s">
        <v>54</v>
      </c>
      <c r="D128" s="35"/>
      <c r="E128" s="196">
        <v>500</v>
      </c>
      <c r="F128" s="197">
        <f>SUM(F119:F127)</f>
        <v>84250</v>
      </c>
      <c r="G128" s="197">
        <f>SUM(G119:G127)</f>
        <v>5500</v>
      </c>
      <c r="H128" s="110">
        <f t="shared" si="17"/>
        <v>89750</v>
      </c>
      <c r="I128" s="111">
        <f t="shared" si="18"/>
        <v>9.5836347286347892E-2</v>
      </c>
      <c r="J128" s="111" t="str">
        <f>IFERROR(#REF!/H128,"")</f>
        <v/>
      </c>
      <c r="K128" s="112"/>
    </row>
    <row r="129" spans="1:11" ht="15" customHeight="1">
      <c r="A129" s="186" t="e">
        <f t="shared" si="9"/>
        <v>#REF!</v>
      </c>
      <c r="B129" s="6" t="s">
        <v>55</v>
      </c>
      <c r="C129" s="6"/>
      <c r="D129" s="6"/>
      <c r="E129" s="132"/>
      <c r="F129" s="198"/>
      <c r="G129" s="198"/>
      <c r="H129" s="199"/>
      <c r="I129" s="200"/>
      <c r="J129" s="200"/>
      <c r="K129" s="160"/>
    </row>
    <row r="130" spans="1:11" ht="15" customHeight="1">
      <c r="A130" s="154" t="e">
        <f t="shared" si="9"/>
        <v>#REF!</v>
      </c>
      <c r="B130" s="26"/>
      <c r="C130" s="36" t="s">
        <v>56</v>
      </c>
      <c r="D130" s="20"/>
      <c r="E130" s="81">
        <v>610</v>
      </c>
      <c r="F130" s="202">
        <v>15500</v>
      </c>
      <c r="G130" s="201"/>
      <c r="H130" s="83">
        <f t="shared" ref="H130:H135" si="19">G130+F130</f>
        <v>15500</v>
      </c>
      <c r="I130" s="84">
        <f t="shared" ref="I130:I135" si="20">H130/$H$154</f>
        <v>1.6551124043881808E-2</v>
      </c>
      <c r="J130" s="84" t="str">
        <f>IFERROR(#REF!/H130,"")</f>
        <v/>
      </c>
      <c r="K130" s="85"/>
    </row>
    <row r="131" spans="1:11" ht="15" customHeight="1">
      <c r="A131" s="154" t="e">
        <f t="shared" si="9"/>
        <v>#REF!</v>
      </c>
      <c r="B131" s="27"/>
      <c r="C131" s="28" t="s">
        <v>57</v>
      </c>
      <c r="D131" s="14"/>
      <c r="E131" s="87" t="s">
        <v>58</v>
      </c>
      <c r="F131" s="194">
        <v>6500</v>
      </c>
      <c r="G131" s="194"/>
      <c r="H131" s="90">
        <f t="shared" si="19"/>
        <v>6500</v>
      </c>
      <c r="I131" s="91">
        <f t="shared" si="20"/>
        <v>6.9407939538859197E-3</v>
      </c>
      <c r="J131" s="91" t="str">
        <f>IFERROR(#REF!/H131,"")</f>
        <v/>
      </c>
      <c r="K131" s="92"/>
    </row>
    <row r="132" spans="1:11" ht="17.25" customHeight="1">
      <c r="A132" s="154" t="e">
        <f t="shared" si="9"/>
        <v>#REF!</v>
      </c>
      <c r="B132" s="27"/>
      <c r="C132" s="28" t="s">
        <v>59</v>
      </c>
      <c r="D132" s="14"/>
      <c r="E132" s="87" t="s">
        <v>60</v>
      </c>
      <c r="F132" s="194">
        <v>6500</v>
      </c>
      <c r="G132" s="194"/>
      <c r="H132" s="90">
        <f t="shared" si="19"/>
        <v>6500</v>
      </c>
      <c r="I132" s="91">
        <f t="shared" si="20"/>
        <v>6.9407939538859197E-3</v>
      </c>
      <c r="J132" s="91" t="str">
        <f>IFERROR(#REF!/H132,"")</f>
        <v/>
      </c>
      <c r="K132" s="92"/>
    </row>
    <row r="133" spans="1:11" ht="17.25" customHeight="1">
      <c r="A133" s="154" t="e">
        <f t="shared" si="9"/>
        <v>#REF!</v>
      </c>
      <c r="B133" s="27"/>
      <c r="C133" s="14" t="s">
        <v>61</v>
      </c>
      <c r="D133" s="14"/>
      <c r="E133" s="87" t="s">
        <v>62</v>
      </c>
      <c r="F133" s="194">
        <v>250</v>
      </c>
      <c r="G133" s="194"/>
      <c r="H133" s="90">
        <f t="shared" si="19"/>
        <v>250</v>
      </c>
      <c r="I133" s="91">
        <f t="shared" si="20"/>
        <v>2.6695361361099692E-4</v>
      </c>
      <c r="J133" s="91" t="str">
        <f>IFERROR(#REF!/H133,"")</f>
        <v/>
      </c>
      <c r="K133" s="92"/>
    </row>
    <row r="134" spans="1:11" ht="15" customHeight="1">
      <c r="A134" s="154" t="e">
        <f t="shared" si="9"/>
        <v>#REF!</v>
      </c>
      <c r="B134" s="27"/>
      <c r="C134" s="12" t="s">
        <v>204</v>
      </c>
      <c r="D134" s="14"/>
      <c r="E134" s="87" t="s">
        <v>205</v>
      </c>
      <c r="F134" s="194">
        <v>1800</v>
      </c>
      <c r="G134" s="194"/>
      <c r="H134" s="104">
        <f t="shared" si="19"/>
        <v>1800</v>
      </c>
      <c r="I134" s="105">
        <f t="shared" si="20"/>
        <v>1.9220660179991777E-3</v>
      </c>
      <c r="J134" s="105" t="str">
        <f>IFERROR(#REF!/H134,"")</f>
        <v/>
      </c>
      <c r="K134" s="92"/>
    </row>
    <row r="135" spans="1:11" ht="15" customHeight="1">
      <c r="A135" s="167" t="e">
        <f t="shared" si="9"/>
        <v>#REF!</v>
      </c>
      <c r="B135" s="15"/>
      <c r="C135" s="15" t="s">
        <v>64</v>
      </c>
      <c r="D135" s="35"/>
      <c r="E135" s="196">
        <v>600</v>
      </c>
      <c r="F135" s="197">
        <f>SUM(F130:F134)</f>
        <v>30550</v>
      </c>
      <c r="G135" s="197">
        <f>SUM(G130:G134)</f>
        <v>0</v>
      </c>
      <c r="H135" s="110">
        <f t="shared" si="19"/>
        <v>30550</v>
      </c>
      <c r="I135" s="111">
        <f t="shared" si="20"/>
        <v>3.262173158326382E-2</v>
      </c>
      <c r="J135" s="111" t="str">
        <f>IFERROR(#REF!/H135,"")</f>
        <v/>
      </c>
      <c r="K135" s="112"/>
    </row>
    <row r="136" spans="1:11" ht="15" customHeight="1">
      <c r="A136" s="186" t="e">
        <f t="shared" si="9"/>
        <v>#REF!</v>
      </c>
      <c r="B136" s="6" t="s">
        <v>65</v>
      </c>
      <c r="C136" s="6"/>
      <c r="D136" s="6"/>
      <c r="E136" s="132"/>
      <c r="F136" s="198"/>
      <c r="G136" s="198"/>
      <c r="H136" s="199"/>
      <c r="I136" s="200"/>
      <c r="J136" s="200"/>
      <c r="K136" s="160"/>
    </row>
    <row r="137" spans="1:11" ht="15" customHeight="1">
      <c r="A137" s="154" t="e">
        <f t="shared" si="9"/>
        <v>#REF!</v>
      </c>
      <c r="B137" s="26"/>
      <c r="C137" s="10" t="s">
        <v>66</v>
      </c>
      <c r="D137" s="20"/>
      <c r="E137" s="81">
        <v>710</v>
      </c>
      <c r="F137" s="203"/>
      <c r="G137" s="203"/>
      <c r="H137" s="83">
        <f>G137+F137</f>
        <v>0</v>
      </c>
      <c r="I137" s="84">
        <f t="shared" ref="I137:I141" si="21">H137/$H$154</f>
        <v>0</v>
      </c>
      <c r="J137" s="84" t="str">
        <f>IFERROR(#REF!/H137,"")</f>
        <v/>
      </c>
      <c r="K137" s="85"/>
    </row>
    <row r="138" spans="1:11" ht="17.25" customHeight="1">
      <c r="A138" s="154" t="e">
        <f t="shared" si="9"/>
        <v>#REF!</v>
      </c>
      <c r="B138" s="27"/>
      <c r="C138" s="12" t="s">
        <v>67</v>
      </c>
      <c r="D138" s="14"/>
      <c r="E138" s="87">
        <v>720</v>
      </c>
      <c r="F138" s="195"/>
      <c r="G138" s="195"/>
      <c r="H138" s="90">
        <f>G138+F138</f>
        <v>0</v>
      </c>
      <c r="I138" s="91">
        <f t="shared" si="21"/>
        <v>0</v>
      </c>
      <c r="J138" s="91" t="str">
        <f>IFERROR(#REF!/H138,"")</f>
        <v/>
      </c>
      <c r="K138" s="92"/>
    </row>
    <row r="139" spans="1:11" ht="17.25" customHeight="1">
      <c r="A139" s="154" t="e">
        <f t="shared" si="9"/>
        <v>#REF!</v>
      </c>
      <c r="B139" s="27"/>
      <c r="C139" s="28" t="s">
        <v>68</v>
      </c>
      <c r="D139" s="14"/>
      <c r="E139" s="87" t="s">
        <v>69</v>
      </c>
      <c r="F139" s="195"/>
      <c r="G139" s="195"/>
      <c r="H139" s="90">
        <f>G139+F139</f>
        <v>0</v>
      </c>
      <c r="I139" s="91">
        <f t="shared" si="21"/>
        <v>0</v>
      </c>
      <c r="J139" s="91" t="str">
        <f>IFERROR(#REF!/H139,"")</f>
        <v/>
      </c>
      <c r="K139" s="92"/>
    </row>
    <row r="140" spans="1:11" ht="14.25" customHeight="1">
      <c r="A140" s="154" t="e">
        <f t="shared" si="9"/>
        <v>#REF!</v>
      </c>
      <c r="B140" s="14"/>
      <c r="C140" s="28" t="s">
        <v>206</v>
      </c>
      <c r="D140" s="14"/>
      <c r="E140" s="87" t="s">
        <v>71</v>
      </c>
      <c r="F140" s="195"/>
      <c r="G140" s="195"/>
      <c r="H140" s="104">
        <f>G140+F140</f>
        <v>0</v>
      </c>
      <c r="I140" s="105">
        <f t="shared" si="21"/>
        <v>0</v>
      </c>
      <c r="J140" s="105" t="str">
        <f>IFERROR(#REF!/H140,"")</f>
        <v/>
      </c>
      <c r="K140" s="92"/>
    </row>
    <row r="141" spans="1:11" ht="15" customHeight="1">
      <c r="A141" s="167" t="e">
        <f t="shared" ref="A141:A154" si="22">A140+1</f>
        <v>#REF!</v>
      </c>
      <c r="B141" s="15"/>
      <c r="C141" s="15" t="s">
        <v>72</v>
      </c>
      <c r="D141" s="35"/>
      <c r="E141" s="196">
        <v>700</v>
      </c>
      <c r="F141" s="197">
        <f>SUM(F137:F140)</f>
        <v>0</v>
      </c>
      <c r="G141" s="197">
        <f>SUM(G137:G140)</f>
        <v>0</v>
      </c>
      <c r="H141" s="110">
        <f>G141+F141</f>
        <v>0</v>
      </c>
      <c r="I141" s="111">
        <f t="shared" si="21"/>
        <v>0</v>
      </c>
      <c r="J141" s="111" t="str">
        <f>IFERROR(#REF!/H141,"")</f>
        <v/>
      </c>
      <c r="K141" s="112"/>
    </row>
    <row r="142" spans="1:11" ht="15" customHeight="1">
      <c r="A142" s="186" t="e">
        <f t="shared" si="22"/>
        <v>#REF!</v>
      </c>
      <c r="B142" s="6" t="s">
        <v>73</v>
      </c>
      <c r="C142" s="6"/>
      <c r="D142" s="6"/>
      <c r="E142" s="132"/>
      <c r="F142" s="198"/>
      <c r="G142" s="198"/>
      <c r="H142" s="199"/>
      <c r="I142" s="200"/>
      <c r="J142" s="200"/>
      <c r="K142" s="160"/>
    </row>
    <row r="143" spans="1:11" ht="15" customHeight="1">
      <c r="A143" s="154" t="e">
        <f t="shared" si="22"/>
        <v>#REF!</v>
      </c>
      <c r="B143" s="26"/>
      <c r="C143" s="36" t="s">
        <v>207</v>
      </c>
      <c r="D143" s="20"/>
      <c r="E143" s="81">
        <v>810</v>
      </c>
      <c r="F143" s="203">
        <f>0.0025*F83</f>
        <v>2144.2150000000001</v>
      </c>
      <c r="G143" s="203"/>
      <c r="H143" s="83">
        <f t="shared" ref="H143:H148" si="23">G143+F143</f>
        <v>2144.2150000000001</v>
      </c>
      <c r="I143" s="84">
        <f t="shared" ref="I143:I148" si="24">H143/$H$154</f>
        <v>2.2896237704356152E-3</v>
      </c>
      <c r="J143" s="84" t="str">
        <f>IFERROR(#REF!/H143,"")</f>
        <v/>
      </c>
      <c r="K143" s="85"/>
    </row>
    <row r="144" spans="1:11" ht="15" customHeight="1">
      <c r="A144" s="154" t="e">
        <f t="shared" si="22"/>
        <v>#REF!</v>
      </c>
      <c r="B144" s="26"/>
      <c r="C144" s="36" t="s">
        <v>208</v>
      </c>
      <c r="D144" s="20"/>
      <c r="E144" s="81">
        <v>810</v>
      </c>
      <c r="F144" s="203">
        <v>1500</v>
      </c>
      <c r="G144" s="203"/>
      <c r="H144" s="83">
        <f t="shared" si="23"/>
        <v>1500</v>
      </c>
      <c r="I144" s="84">
        <f t="shared" si="24"/>
        <v>1.6017216816659814E-3</v>
      </c>
      <c r="J144" s="84" t="str">
        <f>IFERROR(#REF!/H144,"")</f>
        <v/>
      </c>
      <c r="K144" s="85"/>
    </row>
    <row r="145" spans="1:11" ht="17.25" customHeight="1">
      <c r="A145" s="154" t="e">
        <f t="shared" si="22"/>
        <v>#REF!</v>
      </c>
      <c r="B145" s="26"/>
      <c r="C145" s="10" t="s">
        <v>75</v>
      </c>
      <c r="D145" s="20"/>
      <c r="E145" s="81">
        <v>830</v>
      </c>
      <c r="F145" s="203"/>
      <c r="G145" s="203"/>
      <c r="H145" s="83">
        <f t="shared" si="23"/>
        <v>0</v>
      </c>
      <c r="I145" s="84">
        <f t="shared" si="24"/>
        <v>0</v>
      </c>
      <c r="J145" s="84" t="str">
        <f>IFERROR(#REF!/H145,"")</f>
        <v/>
      </c>
      <c r="K145" s="85"/>
    </row>
    <row r="146" spans="1:11" ht="17.25" customHeight="1">
      <c r="A146" s="154" t="e">
        <f t="shared" si="22"/>
        <v>#REF!</v>
      </c>
      <c r="B146" s="26"/>
      <c r="C146" s="10" t="s">
        <v>76</v>
      </c>
      <c r="D146" s="20"/>
      <c r="E146" s="81">
        <v>831</v>
      </c>
      <c r="F146" s="203"/>
      <c r="G146" s="203"/>
      <c r="H146" s="83">
        <f t="shared" si="23"/>
        <v>0</v>
      </c>
      <c r="I146" s="84">
        <f t="shared" si="24"/>
        <v>0</v>
      </c>
      <c r="J146" s="84" t="str">
        <f>IFERROR(#REF!/H146,"")</f>
        <v/>
      </c>
      <c r="K146" s="85"/>
    </row>
    <row r="147" spans="1:11" ht="15" customHeight="1">
      <c r="A147" s="154" t="e">
        <f t="shared" si="22"/>
        <v>#REF!</v>
      </c>
      <c r="B147" s="27"/>
      <c r="C147" s="12" t="s">
        <v>209</v>
      </c>
      <c r="D147" s="14"/>
      <c r="E147" s="87" t="s">
        <v>78</v>
      </c>
      <c r="F147" s="195">
        <f>(5400*1.03)</f>
        <v>5562</v>
      </c>
      <c r="G147" s="195"/>
      <c r="H147" s="104">
        <f t="shared" si="23"/>
        <v>5562</v>
      </c>
      <c r="I147" s="105">
        <f t="shared" si="24"/>
        <v>5.9391839956174589E-3</v>
      </c>
      <c r="J147" s="105" t="str">
        <f>IFERROR(#REF!/H147,"")</f>
        <v/>
      </c>
      <c r="K147" s="92" t="s">
        <v>210</v>
      </c>
    </row>
    <row r="148" spans="1:11" ht="15" customHeight="1">
      <c r="A148" s="214" t="e">
        <f t="shared" si="22"/>
        <v>#REF!</v>
      </c>
      <c r="B148" s="15"/>
      <c r="C148" s="15" t="s">
        <v>79</v>
      </c>
      <c r="D148" s="35"/>
      <c r="E148" s="196">
        <v>800</v>
      </c>
      <c r="F148" s="197">
        <f>SUM(F143:F147)</f>
        <v>9206.2150000000001</v>
      </c>
      <c r="G148" s="197">
        <f>SUM(G143:G147)</f>
        <v>0</v>
      </c>
      <c r="H148" s="110">
        <f t="shared" si="23"/>
        <v>9206.2150000000001</v>
      </c>
      <c r="I148" s="111">
        <f t="shared" si="24"/>
        <v>9.8305294477190556E-3</v>
      </c>
      <c r="J148" s="111" t="str">
        <f>IFERROR(#REF!/H148,"")</f>
        <v/>
      </c>
      <c r="K148" s="112"/>
    </row>
    <row r="149" spans="1:11" ht="15" customHeight="1">
      <c r="A149" s="215" t="e">
        <f t="shared" si="22"/>
        <v>#REF!</v>
      </c>
      <c r="B149" s="6" t="s">
        <v>80</v>
      </c>
      <c r="C149" s="6"/>
      <c r="D149" s="6"/>
      <c r="E149" s="132"/>
      <c r="F149" s="198"/>
      <c r="G149" s="198"/>
      <c r="H149" s="199"/>
      <c r="I149" s="200"/>
      <c r="J149" s="200"/>
      <c r="K149" s="160"/>
    </row>
    <row r="150" spans="1:11" ht="17.25" customHeight="1">
      <c r="A150" s="154" t="e">
        <f t="shared" si="22"/>
        <v>#REF!</v>
      </c>
      <c r="B150" s="27"/>
      <c r="C150" s="14" t="s">
        <v>211</v>
      </c>
      <c r="D150" s="14"/>
      <c r="E150" s="87">
        <v>933</v>
      </c>
      <c r="F150" s="195">
        <v>170987</v>
      </c>
      <c r="G150" s="194"/>
      <c r="H150" s="90">
        <f>G150+F150</f>
        <v>170987</v>
      </c>
      <c r="I150" s="91">
        <f t="shared" ref="I150:I154" si="25">H150/$H$154</f>
        <v>0.1825823901220141</v>
      </c>
      <c r="J150" s="91" t="str">
        <f>IFERROR(#REF!/H150,"")</f>
        <v/>
      </c>
      <c r="K150" s="92"/>
    </row>
    <row r="151" spans="1:11" ht="17.25" customHeight="1">
      <c r="A151" s="154" t="e">
        <f t="shared" si="22"/>
        <v>#REF!</v>
      </c>
      <c r="B151" s="27"/>
      <c r="C151" s="14" t="s">
        <v>212</v>
      </c>
      <c r="D151" s="14"/>
      <c r="E151" s="87" t="s">
        <v>82</v>
      </c>
      <c r="F151" s="195"/>
      <c r="G151" s="195"/>
      <c r="H151" s="90">
        <f>G151+F151</f>
        <v>0</v>
      </c>
      <c r="I151" s="91">
        <f t="shared" si="25"/>
        <v>0</v>
      </c>
      <c r="J151" s="91" t="str">
        <f>IFERROR(#REF!/H151,"")</f>
        <v/>
      </c>
      <c r="K151" s="92"/>
    </row>
    <row r="152" spans="1:11" ht="15" customHeight="1">
      <c r="A152" s="154" t="e">
        <f t="shared" si="22"/>
        <v>#REF!</v>
      </c>
      <c r="B152" s="98"/>
      <c r="C152" s="216"/>
      <c r="D152" s="98"/>
      <c r="E152" s="99"/>
      <c r="F152" s="195"/>
      <c r="G152" s="195"/>
      <c r="H152" s="104">
        <f>G152+F152</f>
        <v>0</v>
      </c>
      <c r="I152" s="105">
        <f t="shared" si="25"/>
        <v>0</v>
      </c>
      <c r="J152" s="105" t="str">
        <f>IFERROR(#REF!/H152,"")</f>
        <v/>
      </c>
      <c r="K152" s="92"/>
    </row>
    <row r="153" spans="1:11" ht="21" customHeight="1">
      <c r="A153" s="217" t="e">
        <f t="shared" si="22"/>
        <v>#REF!</v>
      </c>
      <c r="B153" s="15"/>
      <c r="C153" s="15" t="s">
        <v>84</v>
      </c>
      <c r="D153" s="15"/>
      <c r="E153" s="196">
        <v>900</v>
      </c>
      <c r="F153" s="197">
        <f>SUM(F150:F152)</f>
        <v>170987</v>
      </c>
      <c r="G153" s="197">
        <f>SUM(G150:G152)</f>
        <v>0</v>
      </c>
      <c r="H153" s="110">
        <f>G153+F153</f>
        <v>170987</v>
      </c>
      <c r="I153" s="111">
        <f t="shared" si="25"/>
        <v>0.1825823901220141</v>
      </c>
      <c r="J153" s="111" t="str">
        <f>IFERROR(#REF!/H153,"")</f>
        <v/>
      </c>
      <c r="K153" s="218"/>
    </row>
    <row r="154" spans="1:11" ht="18.75" customHeight="1" thickBot="1">
      <c r="A154" s="217" t="e">
        <f t="shared" si="22"/>
        <v>#REF!</v>
      </c>
      <c r="B154" s="39"/>
      <c r="C154" s="39"/>
      <c r="D154" s="40" t="s">
        <v>85</v>
      </c>
      <c r="E154" s="219" t="s">
        <v>86</v>
      </c>
      <c r="F154" s="220">
        <f>F95+F104+F110+F117+F128+F135+F141+F148+F153</f>
        <v>856530.28649999993</v>
      </c>
      <c r="G154" s="220">
        <f t="shared" ref="G154" si="26">G95+G104+G110+G117+G128+G135+G141+G148+G153</f>
        <v>79962</v>
      </c>
      <c r="H154" s="221">
        <f>G154+F154</f>
        <v>936492.28649999993</v>
      </c>
      <c r="I154" s="222">
        <f t="shared" si="25"/>
        <v>1</v>
      </c>
      <c r="J154" s="222" t="str">
        <f>IFERROR(#REF!/H154,"")</f>
        <v/>
      </c>
      <c r="K154" s="179"/>
    </row>
    <row r="155" spans="1:11" ht="18.75" customHeight="1" thickTop="1" thickBot="1">
      <c r="A155" s="223"/>
      <c r="B155" s="224"/>
      <c r="C155" s="224"/>
      <c r="D155" s="224"/>
      <c r="E155" s="166"/>
      <c r="F155" s="225"/>
      <c r="G155" s="225"/>
      <c r="H155" s="226"/>
      <c r="I155" s="226"/>
      <c r="J155" s="226"/>
      <c r="K155" s="226"/>
    </row>
    <row r="156" spans="1:11" ht="18.75" customHeight="1" thickBot="1">
      <c r="A156" s="223"/>
      <c r="B156" s="226"/>
      <c r="C156" s="166"/>
      <c r="D156" s="227"/>
      <c r="E156" s="228" t="s">
        <v>213</v>
      </c>
      <c r="F156" s="229">
        <f>F83-F154</f>
        <v>1155.7135000000708</v>
      </c>
      <c r="G156" s="230">
        <f>G83-G154</f>
        <v>0</v>
      </c>
      <c r="H156" s="231">
        <f>F156+G156</f>
        <v>1155.7135000000708</v>
      </c>
      <c r="I156" s="226"/>
      <c r="J156" s="226"/>
      <c r="K156" s="232" t="s">
        <v>214</v>
      </c>
    </row>
    <row r="157" spans="1:11" ht="18.75" customHeight="1" thickTop="1" thickBot="1">
      <c r="A157" s="223"/>
      <c r="B157" s="226"/>
      <c r="C157" s="166"/>
      <c r="D157" s="227"/>
      <c r="E157" s="228" t="s">
        <v>215</v>
      </c>
      <c r="F157" s="233">
        <f>76900+2750</f>
        <v>79650</v>
      </c>
      <c r="G157" s="234">
        <v>0</v>
      </c>
      <c r="H157" s="235">
        <f>F157+G157</f>
        <v>79650</v>
      </c>
      <c r="I157" s="226"/>
      <c r="J157" s="226"/>
      <c r="K157" s="236">
        <f>F158/F83</f>
        <v>9.4213632378283049E-2</v>
      </c>
    </row>
    <row r="158" spans="1:11" ht="15" customHeight="1" thickTop="1">
      <c r="A158" s="223"/>
      <c r="B158" s="226"/>
      <c r="C158" s="166"/>
      <c r="D158" s="227"/>
      <c r="E158" s="228" t="s">
        <v>216</v>
      </c>
      <c r="F158" s="237">
        <f>SUM(F156:F157)</f>
        <v>80805.713500000071</v>
      </c>
      <c r="G158" s="238">
        <f>SUM(G156:G157)</f>
        <v>0</v>
      </c>
      <c r="H158" s="239">
        <f>F158+G158</f>
        <v>80805.713500000071</v>
      </c>
      <c r="I158" s="226"/>
      <c r="J158" s="226"/>
      <c r="K158" s="226"/>
    </row>
    <row r="159" spans="1:11" ht="15" customHeight="1">
      <c r="A159" s="223"/>
      <c r="B159" s="226"/>
      <c r="C159" s="166"/>
      <c r="D159" s="227"/>
      <c r="E159" s="240"/>
      <c r="F159" s="241"/>
      <c r="G159" s="241"/>
      <c r="H159" s="226"/>
      <c r="I159" s="226"/>
      <c r="J159" s="226"/>
      <c r="K159" s="226"/>
    </row>
    <row r="160" spans="1:11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</sheetData>
  <mergeCells count="15">
    <mergeCell ref="H5:H6"/>
    <mergeCell ref="E7:E9"/>
    <mergeCell ref="F7:F9"/>
    <mergeCell ref="G7:G9"/>
    <mergeCell ref="H7:H9"/>
    <mergeCell ref="A4:C4"/>
    <mergeCell ref="B5:D9"/>
    <mergeCell ref="E5:E6"/>
    <mergeCell ref="F5:F6"/>
    <mergeCell ref="G5:G6"/>
    <mergeCell ref="I7:I9"/>
    <mergeCell ref="J7:J9"/>
    <mergeCell ref="K7:K9"/>
    <mergeCell ref="B10:D10"/>
    <mergeCell ref="B84:D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opLeftCell="B1" workbookViewId="0">
      <selection activeCell="L90" sqref="L90"/>
    </sheetView>
  </sheetViews>
  <sheetFormatPr defaultColWidth="14" defaultRowHeight="15"/>
  <cols>
    <col min="1" max="1" width="4" customWidth="1"/>
    <col min="2" max="2" width="2.42578125" customWidth="1"/>
    <col min="3" max="3" width="3.140625" customWidth="1"/>
    <col min="4" max="4" width="34.85546875" customWidth="1"/>
    <col min="5" max="5" width="15.85546875" bestFit="1" customWidth="1"/>
    <col min="6" max="6" width="17.42578125" bestFit="1" customWidth="1"/>
    <col min="7" max="7" width="18.28515625" customWidth="1"/>
    <col min="8" max="8" width="12.7109375" bestFit="1" customWidth="1"/>
    <col min="9" max="9" width="8.42578125" customWidth="1"/>
    <col min="10" max="10" width="22.28515625" style="3" hidden="1" customWidth="1"/>
    <col min="11" max="11" width="30.5703125" style="289" customWidth="1"/>
  </cols>
  <sheetData>
    <row r="1" spans="1:11" ht="29.25" customHeight="1" thickBot="1">
      <c r="A1" s="54"/>
      <c r="B1" s="54"/>
      <c r="C1" s="54"/>
      <c r="D1" s="54"/>
      <c r="E1" s="54"/>
      <c r="F1" s="54"/>
      <c r="G1" s="54"/>
      <c r="H1" s="54"/>
      <c r="I1" s="54"/>
      <c r="J1" s="242"/>
      <c r="K1" s="243" t="s">
        <v>89</v>
      </c>
    </row>
    <row r="2" spans="1:11" ht="19.899999999999999" customHeight="1" thickTop="1" thickBot="1">
      <c r="A2" s="56"/>
      <c r="B2" s="57"/>
      <c r="C2" s="57"/>
      <c r="D2" s="57"/>
      <c r="E2" s="57"/>
      <c r="F2" s="57"/>
      <c r="G2" s="57"/>
      <c r="H2" s="54"/>
      <c r="I2" s="54"/>
      <c r="J2" s="244"/>
      <c r="K2" s="245"/>
    </row>
    <row r="3" spans="1:11" ht="19.899999999999999" customHeight="1" thickTop="1" thickBot="1">
      <c r="A3" s="56"/>
      <c r="B3" s="57"/>
      <c r="C3" s="57"/>
      <c r="D3" s="57"/>
      <c r="E3" s="57"/>
      <c r="F3" s="57"/>
      <c r="G3" s="57"/>
      <c r="H3" s="54"/>
      <c r="I3" s="54"/>
      <c r="J3" s="246" t="s">
        <v>219</v>
      </c>
      <c r="K3" s="245">
        <v>150</v>
      </c>
    </row>
    <row r="4" spans="1:11" ht="30" customHeight="1" thickTop="1" thickBot="1">
      <c r="A4" s="338" t="s">
        <v>92</v>
      </c>
      <c r="B4" s="339"/>
      <c r="C4" s="340"/>
      <c r="D4" s="61" t="s">
        <v>220</v>
      </c>
      <c r="E4" s="54"/>
      <c r="F4" s="54"/>
      <c r="G4" s="62"/>
      <c r="H4" s="54"/>
      <c r="I4" s="54"/>
      <c r="J4" s="247"/>
      <c r="K4" s="248"/>
    </row>
    <row r="5" spans="1:11" ht="22.5" customHeight="1" thickTop="1">
      <c r="A5" s="65"/>
      <c r="B5" s="341" t="s">
        <v>94</v>
      </c>
      <c r="C5" s="341"/>
      <c r="D5" s="342"/>
      <c r="E5" s="347" t="s">
        <v>95</v>
      </c>
      <c r="F5" s="349" t="s">
        <v>96</v>
      </c>
      <c r="G5" s="364" t="s">
        <v>221</v>
      </c>
      <c r="H5" s="353" t="s">
        <v>222</v>
      </c>
      <c r="I5" s="54"/>
      <c r="J5" s="249"/>
      <c r="K5" s="248"/>
    </row>
    <row r="6" spans="1:11" ht="10.15" customHeight="1" thickBot="1">
      <c r="A6" s="67"/>
      <c r="B6" s="343"/>
      <c r="C6" s="343"/>
      <c r="D6" s="344"/>
      <c r="E6" s="348"/>
      <c r="F6" s="350"/>
      <c r="G6" s="365"/>
      <c r="H6" s="354"/>
      <c r="I6" s="54"/>
      <c r="J6" s="242"/>
      <c r="K6" s="250"/>
    </row>
    <row r="7" spans="1:11" ht="16.5" customHeight="1" thickTop="1">
      <c r="A7" s="67"/>
      <c r="B7" s="343"/>
      <c r="C7" s="343"/>
      <c r="D7" s="344"/>
      <c r="E7" s="355" t="s">
        <v>98</v>
      </c>
      <c r="F7" s="358"/>
      <c r="G7" s="358"/>
      <c r="H7" s="358"/>
      <c r="I7" s="328" t="s">
        <v>99</v>
      </c>
      <c r="J7" s="361" t="s">
        <v>100</v>
      </c>
      <c r="K7" s="328" t="s">
        <v>101</v>
      </c>
    </row>
    <row r="8" spans="1:11" ht="15" customHeight="1">
      <c r="A8" s="67"/>
      <c r="B8" s="343"/>
      <c r="C8" s="343"/>
      <c r="D8" s="344"/>
      <c r="E8" s="356"/>
      <c r="F8" s="366"/>
      <c r="G8" s="359"/>
      <c r="H8" s="359"/>
      <c r="I8" s="329"/>
      <c r="J8" s="362"/>
      <c r="K8" s="329"/>
    </row>
    <row r="9" spans="1:11" ht="25.5" customHeight="1" thickBot="1">
      <c r="A9" s="68"/>
      <c r="B9" s="345"/>
      <c r="C9" s="345"/>
      <c r="D9" s="346"/>
      <c r="E9" s="357"/>
      <c r="F9" s="367"/>
      <c r="G9" s="360"/>
      <c r="H9" s="360"/>
      <c r="I9" s="330"/>
      <c r="J9" s="363"/>
      <c r="K9" s="330"/>
    </row>
    <row r="10" spans="1:11" ht="25.5" customHeight="1" thickTop="1">
      <c r="A10" s="69">
        <v>1</v>
      </c>
      <c r="B10" s="334" t="s">
        <v>2</v>
      </c>
      <c r="C10" s="335"/>
      <c r="D10" s="335"/>
      <c r="E10" s="70"/>
      <c r="F10" s="71"/>
      <c r="G10" s="71"/>
      <c r="H10" s="70"/>
      <c r="I10" s="70"/>
      <c r="J10" s="251"/>
      <c r="K10" s="252"/>
    </row>
    <row r="11" spans="1:11" ht="18" customHeight="1">
      <c r="A11" s="73">
        <f>A10+1</f>
        <v>2</v>
      </c>
      <c r="B11" s="7" t="s">
        <v>102</v>
      </c>
      <c r="C11" s="7"/>
      <c r="D11" s="7"/>
      <c r="E11" s="74"/>
      <c r="F11" s="75"/>
      <c r="G11" s="75"/>
      <c r="H11" s="76"/>
      <c r="I11" s="77"/>
      <c r="J11" s="253"/>
      <c r="K11" s="254"/>
    </row>
    <row r="12" spans="1:11">
      <c r="A12" s="79">
        <f>A11+1</f>
        <v>3</v>
      </c>
      <c r="B12" s="80"/>
      <c r="C12" s="20" t="s">
        <v>103</v>
      </c>
      <c r="D12" s="20"/>
      <c r="E12" s="81" t="s">
        <v>104</v>
      </c>
      <c r="F12" s="82">
        <v>0</v>
      </c>
      <c r="G12" s="82">
        <v>0</v>
      </c>
      <c r="H12" s="83">
        <f t="shared" ref="H12:H21" si="0">G12+F12</f>
        <v>0</v>
      </c>
      <c r="I12" s="84">
        <f t="shared" ref="I12:I21" si="1">H12/$H$84</f>
        <v>0</v>
      </c>
      <c r="J12" s="255" t="str">
        <f>IFERROR(#REF!/H12,"")</f>
        <v/>
      </c>
      <c r="K12" s="256"/>
    </row>
    <row r="13" spans="1:11">
      <c r="A13" s="79">
        <f t="shared" ref="A13:A76" si="2">A12+1</f>
        <v>4</v>
      </c>
      <c r="B13" s="86"/>
      <c r="C13" s="14" t="s">
        <v>105</v>
      </c>
      <c r="D13" s="14"/>
      <c r="E13" s="87" t="s">
        <v>106</v>
      </c>
      <c r="F13" s="88"/>
      <c r="G13" s="82">
        <v>0</v>
      </c>
      <c r="H13" s="90">
        <f t="shared" si="0"/>
        <v>0</v>
      </c>
      <c r="I13" s="91">
        <f t="shared" si="1"/>
        <v>0</v>
      </c>
      <c r="J13" s="257" t="str">
        <f>IFERROR(#REF!/H13,"")</f>
        <v/>
      </c>
      <c r="K13" s="165"/>
    </row>
    <row r="14" spans="1:11">
      <c r="A14" s="79">
        <f t="shared" si="2"/>
        <v>5</v>
      </c>
      <c r="B14" s="86"/>
      <c r="C14" s="14" t="s">
        <v>107</v>
      </c>
      <c r="D14" s="14"/>
      <c r="E14" s="87">
        <v>1920</v>
      </c>
      <c r="F14" s="258"/>
      <c r="G14" s="82">
        <v>0</v>
      </c>
      <c r="H14" s="90">
        <f t="shared" si="0"/>
        <v>0</v>
      </c>
      <c r="I14" s="91">
        <f t="shared" si="1"/>
        <v>0</v>
      </c>
      <c r="J14" s="257" t="str">
        <f>IFERROR(#REF!/H14,"")</f>
        <v/>
      </c>
      <c r="K14" s="259"/>
    </row>
    <row r="15" spans="1:11">
      <c r="A15" s="79">
        <f t="shared" si="2"/>
        <v>6</v>
      </c>
      <c r="B15" s="86"/>
      <c r="C15" s="14" t="s">
        <v>108</v>
      </c>
      <c r="D15" s="14"/>
      <c r="E15" s="87">
        <v>1993</v>
      </c>
      <c r="F15" s="82">
        <v>0</v>
      </c>
      <c r="G15" s="82">
        <v>0</v>
      </c>
      <c r="H15" s="90">
        <f t="shared" si="0"/>
        <v>0</v>
      </c>
      <c r="I15" s="91">
        <f t="shared" si="1"/>
        <v>0</v>
      </c>
      <c r="J15" s="257" t="str">
        <f>IFERROR(#REF!/H15,"")</f>
        <v/>
      </c>
      <c r="K15" s="260"/>
    </row>
    <row r="16" spans="1:11">
      <c r="A16" s="79">
        <f t="shared" si="2"/>
        <v>7</v>
      </c>
      <c r="B16" s="86"/>
      <c r="C16" s="14" t="s">
        <v>109</v>
      </c>
      <c r="D16" s="14"/>
      <c r="E16" s="87">
        <v>1994</v>
      </c>
      <c r="F16" s="258">
        <f>1133573+60175</f>
        <v>1193748</v>
      </c>
      <c r="G16" s="95"/>
      <c r="H16" s="90">
        <f t="shared" si="0"/>
        <v>1193748</v>
      </c>
      <c r="I16" s="91">
        <f t="shared" si="1"/>
        <v>0.51097785594830591</v>
      </c>
      <c r="J16" s="257" t="str">
        <f>IFERROR(#REF!/H16,"")</f>
        <v/>
      </c>
      <c r="K16" s="261"/>
    </row>
    <row r="17" spans="1:11">
      <c r="A17" s="79">
        <f t="shared" si="2"/>
        <v>8</v>
      </c>
      <c r="B17" s="86"/>
      <c r="C17" s="14" t="s">
        <v>223</v>
      </c>
      <c r="D17" s="14"/>
      <c r="E17" s="87" t="s">
        <v>111</v>
      </c>
      <c r="F17" s="82"/>
      <c r="G17" s="82">
        <v>0</v>
      </c>
      <c r="H17" s="90">
        <f t="shared" si="0"/>
        <v>0</v>
      </c>
      <c r="I17" s="91">
        <f t="shared" si="1"/>
        <v>0</v>
      </c>
      <c r="J17" s="257" t="str">
        <f>IFERROR(#REF!/H17,"")</f>
        <v/>
      </c>
      <c r="K17" s="165"/>
    </row>
    <row r="18" spans="1:11" hidden="1">
      <c r="A18" s="79">
        <f t="shared" si="2"/>
        <v>9</v>
      </c>
      <c r="B18" s="97"/>
      <c r="C18" s="98" t="s">
        <v>112</v>
      </c>
      <c r="D18" s="98"/>
      <c r="E18" s="99"/>
      <c r="F18" s="89"/>
      <c r="G18" s="89"/>
      <c r="H18" s="90">
        <f t="shared" si="0"/>
        <v>0</v>
      </c>
      <c r="I18" s="91">
        <f t="shared" si="1"/>
        <v>0</v>
      </c>
      <c r="J18" s="257" t="str">
        <f>IFERROR(#REF!/H18,"")</f>
        <v/>
      </c>
      <c r="K18" s="165"/>
    </row>
    <row r="19" spans="1:11" hidden="1">
      <c r="A19" s="79">
        <f t="shared" si="2"/>
        <v>10</v>
      </c>
      <c r="B19" s="100"/>
      <c r="C19" s="98" t="s">
        <v>112</v>
      </c>
      <c r="D19" s="101"/>
      <c r="E19" s="102"/>
      <c r="F19" s="103"/>
      <c r="G19" s="103"/>
      <c r="H19" s="90">
        <f t="shared" si="0"/>
        <v>0</v>
      </c>
      <c r="I19" s="91">
        <f t="shared" si="1"/>
        <v>0</v>
      </c>
      <c r="J19" s="257" t="str">
        <f>IFERROR(#REF!/H19,"")</f>
        <v/>
      </c>
      <c r="K19" s="165"/>
    </row>
    <row r="20" spans="1:11" hidden="1">
      <c r="A20" s="79">
        <f t="shared" si="2"/>
        <v>11</v>
      </c>
      <c r="B20" s="97"/>
      <c r="C20" s="98" t="s">
        <v>112</v>
      </c>
      <c r="D20" s="98"/>
      <c r="E20" s="99"/>
      <c r="F20" s="89"/>
      <c r="G20" s="89"/>
      <c r="H20" s="104">
        <f t="shared" si="0"/>
        <v>0</v>
      </c>
      <c r="I20" s="105">
        <f t="shared" si="1"/>
        <v>0</v>
      </c>
      <c r="J20" s="262" t="str">
        <f>IFERROR(#REF!/H20,"")</f>
        <v/>
      </c>
      <c r="K20" s="165"/>
    </row>
    <row r="21" spans="1:11" ht="18" customHeight="1">
      <c r="A21" s="106">
        <f t="shared" si="2"/>
        <v>12</v>
      </c>
      <c r="B21" s="107" t="s">
        <v>113</v>
      </c>
      <c r="C21" s="15"/>
      <c r="D21" s="15"/>
      <c r="E21" s="108"/>
      <c r="F21" s="263">
        <f>SUM(F12:F20)</f>
        <v>1193748</v>
      </c>
      <c r="G21" s="109">
        <f>SUM(G12:G20)</f>
        <v>0</v>
      </c>
      <c r="H21" s="110">
        <f t="shared" si="0"/>
        <v>1193748</v>
      </c>
      <c r="I21" s="111">
        <f t="shared" si="1"/>
        <v>0.51097785594830591</v>
      </c>
      <c r="J21" s="264" t="str">
        <f>IFERROR(#REF!/H21,"")</f>
        <v/>
      </c>
      <c r="K21" s="265"/>
    </row>
    <row r="22" spans="1:11" hidden="1">
      <c r="A22" s="79">
        <f t="shared" si="2"/>
        <v>13</v>
      </c>
      <c r="B22" s="113"/>
      <c r="C22" s="114"/>
      <c r="D22" s="114"/>
      <c r="E22" s="115"/>
      <c r="F22" s="116"/>
      <c r="G22" s="116"/>
      <c r="H22" s="117"/>
      <c r="I22" s="117"/>
      <c r="J22" s="266"/>
      <c r="K22" s="267"/>
    </row>
    <row r="23" spans="1:11" ht="18" customHeight="1">
      <c r="A23" s="73">
        <f t="shared" si="2"/>
        <v>14</v>
      </c>
      <c r="B23" s="7" t="s">
        <v>114</v>
      </c>
      <c r="C23" s="7"/>
      <c r="D23" s="7"/>
      <c r="E23" s="119"/>
      <c r="F23" s="120"/>
      <c r="G23" s="120"/>
      <c r="H23" s="90"/>
      <c r="I23" s="90"/>
      <c r="J23" s="268"/>
      <c r="K23" s="269"/>
    </row>
    <row r="24" spans="1:11">
      <c r="A24" s="79">
        <f t="shared" si="2"/>
        <v>15</v>
      </c>
      <c r="B24" s="122"/>
      <c r="C24" s="123" t="s">
        <v>115</v>
      </c>
      <c r="D24" s="123"/>
      <c r="E24" s="124"/>
      <c r="F24" s="125"/>
      <c r="G24" s="126"/>
      <c r="H24" s="83"/>
      <c r="I24" s="83"/>
      <c r="J24" s="270"/>
      <c r="K24" s="271"/>
    </row>
    <row r="25" spans="1:11">
      <c r="A25" s="79">
        <f t="shared" si="2"/>
        <v>16</v>
      </c>
      <c r="B25" s="86"/>
      <c r="C25" s="14"/>
      <c r="D25" s="128" t="s">
        <v>116</v>
      </c>
      <c r="E25" s="87">
        <v>3110</v>
      </c>
      <c r="F25" s="258">
        <f>698553+10122</f>
        <v>708675</v>
      </c>
      <c r="G25" s="129"/>
      <c r="H25" s="90">
        <f>G25+F25</f>
        <v>708675</v>
      </c>
      <c r="I25" s="91">
        <f>H25/$H$84</f>
        <v>0.30334478639056622</v>
      </c>
      <c r="J25" s="257" t="str">
        <f>IFERROR(#REF!/H25,"")</f>
        <v/>
      </c>
      <c r="K25" s="272"/>
    </row>
    <row r="26" spans="1:11">
      <c r="A26" s="79">
        <f t="shared" si="2"/>
        <v>17</v>
      </c>
      <c r="B26" s="86"/>
      <c r="C26" s="14"/>
      <c r="D26" s="14" t="s">
        <v>224</v>
      </c>
      <c r="E26" s="87">
        <v>3190</v>
      </c>
      <c r="F26" s="258">
        <v>128759</v>
      </c>
      <c r="G26" s="82">
        <v>0</v>
      </c>
      <c r="H26" s="90">
        <f>G26+F26</f>
        <v>128759</v>
      </c>
      <c r="I26" s="91">
        <f>H26/$H$84</f>
        <v>5.5114645431069136E-2</v>
      </c>
      <c r="J26" s="257" t="str">
        <f>IFERROR(#REF!/H26,"")</f>
        <v/>
      </c>
      <c r="K26" s="272" t="s">
        <v>225</v>
      </c>
    </row>
    <row r="27" spans="1:11">
      <c r="A27" s="79">
        <f t="shared" si="2"/>
        <v>18</v>
      </c>
      <c r="B27" s="130"/>
      <c r="C27" s="131" t="s">
        <v>119</v>
      </c>
      <c r="D27" s="131"/>
      <c r="E27" s="132"/>
      <c r="F27" s="133"/>
      <c r="G27" s="88"/>
      <c r="H27" s="90"/>
      <c r="I27" s="91"/>
      <c r="J27" s="257"/>
      <c r="K27" s="273"/>
    </row>
    <row r="28" spans="1:11">
      <c r="A28" s="79">
        <f t="shared" si="2"/>
        <v>19</v>
      </c>
      <c r="B28" s="86"/>
      <c r="C28" s="14"/>
      <c r="D28" s="14" t="s">
        <v>120</v>
      </c>
      <c r="E28" s="135">
        <v>3220</v>
      </c>
      <c r="F28" s="82">
        <v>0</v>
      </c>
      <c r="G28" s="82">
        <v>0</v>
      </c>
      <c r="H28" s="90">
        <f t="shared" ref="H28:H38" si="3">G28+F28</f>
        <v>0</v>
      </c>
      <c r="I28" s="91">
        <f t="shared" ref="I28:I38" si="4">H28/$H$84</f>
        <v>0</v>
      </c>
      <c r="J28" s="257" t="str">
        <f>IFERROR(#REF!/H28,"")</f>
        <v/>
      </c>
      <c r="K28" s="165"/>
    </row>
    <row r="29" spans="1:11">
      <c r="A29" s="79">
        <f t="shared" si="2"/>
        <v>20</v>
      </c>
      <c r="B29" s="86"/>
      <c r="C29" s="14"/>
      <c r="D29" s="14" t="s">
        <v>121</v>
      </c>
      <c r="E29" s="135">
        <v>3230</v>
      </c>
      <c r="F29" s="82">
        <v>0</v>
      </c>
      <c r="G29" s="95"/>
      <c r="H29" s="90">
        <f t="shared" si="3"/>
        <v>0</v>
      </c>
      <c r="I29" s="91">
        <f t="shared" si="4"/>
        <v>0</v>
      </c>
      <c r="J29" s="257" t="str">
        <f>IFERROR(#REF!/H29,"")</f>
        <v/>
      </c>
      <c r="K29" s="165"/>
    </row>
    <row r="30" spans="1:11">
      <c r="A30" s="79">
        <f t="shared" si="2"/>
        <v>21</v>
      </c>
      <c r="B30" s="86"/>
      <c r="C30" s="14"/>
      <c r="D30" s="14" t="s">
        <v>122</v>
      </c>
      <c r="E30" s="135">
        <v>3290</v>
      </c>
      <c r="F30" s="82">
        <v>0</v>
      </c>
      <c r="G30" s="82">
        <v>0</v>
      </c>
      <c r="H30" s="90">
        <f t="shared" si="3"/>
        <v>0</v>
      </c>
      <c r="I30" s="91">
        <f t="shared" si="4"/>
        <v>0</v>
      </c>
      <c r="J30" s="257" t="str">
        <f>IFERROR(#REF!/H30,"")</f>
        <v/>
      </c>
      <c r="K30" s="165"/>
    </row>
    <row r="31" spans="1:11">
      <c r="A31" s="79">
        <f t="shared" si="2"/>
        <v>22</v>
      </c>
      <c r="B31" s="86"/>
      <c r="C31" s="14"/>
      <c r="D31" s="138" t="s">
        <v>123</v>
      </c>
      <c r="E31" s="135">
        <v>3240</v>
      </c>
      <c r="F31" s="82">
        <v>0</v>
      </c>
      <c r="G31" s="82">
        <v>0</v>
      </c>
      <c r="H31" s="90">
        <f t="shared" si="3"/>
        <v>0</v>
      </c>
      <c r="I31" s="91">
        <f t="shared" si="4"/>
        <v>0</v>
      </c>
      <c r="J31" s="257" t="str">
        <f>IFERROR(#REF!/H31,"")</f>
        <v/>
      </c>
      <c r="K31" s="165"/>
    </row>
    <row r="32" spans="1:11">
      <c r="A32" s="79">
        <f t="shared" si="2"/>
        <v>23</v>
      </c>
      <c r="B32" s="86"/>
      <c r="C32" s="14"/>
      <c r="D32" s="14" t="s">
        <v>124</v>
      </c>
      <c r="E32" s="135">
        <v>3290</v>
      </c>
      <c r="F32" s="82">
        <v>0</v>
      </c>
      <c r="G32" s="82">
        <v>0</v>
      </c>
      <c r="H32" s="90">
        <f t="shared" si="3"/>
        <v>0</v>
      </c>
      <c r="I32" s="91">
        <f t="shared" si="4"/>
        <v>0</v>
      </c>
      <c r="J32" s="257" t="str">
        <f>IFERROR(#REF!/H32,"")</f>
        <v/>
      </c>
      <c r="K32" s="165"/>
    </row>
    <row r="33" spans="1:11">
      <c r="A33" s="79">
        <f t="shared" si="2"/>
        <v>24</v>
      </c>
      <c r="B33" s="86"/>
      <c r="C33" s="14"/>
      <c r="D33" s="138" t="s">
        <v>125</v>
      </c>
      <c r="E33" s="135">
        <v>3290</v>
      </c>
      <c r="F33" s="82">
        <v>0</v>
      </c>
      <c r="G33" s="82">
        <v>0</v>
      </c>
      <c r="H33" s="90">
        <f t="shared" si="3"/>
        <v>0</v>
      </c>
      <c r="I33" s="91">
        <f t="shared" si="4"/>
        <v>0</v>
      </c>
      <c r="J33" s="257" t="str">
        <f>IFERROR(#REF!/H33,"")</f>
        <v/>
      </c>
      <c r="K33" s="165"/>
    </row>
    <row r="34" spans="1:11">
      <c r="A34" s="79">
        <f t="shared" si="2"/>
        <v>25</v>
      </c>
      <c r="B34" s="97"/>
      <c r="C34" s="98" t="s">
        <v>226</v>
      </c>
      <c r="D34" s="98"/>
      <c r="E34" s="135">
        <v>3290</v>
      </c>
      <c r="F34" s="141"/>
      <c r="G34" s="89"/>
      <c r="H34" s="90">
        <f t="shared" si="3"/>
        <v>0</v>
      </c>
      <c r="I34" s="91">
        <f t="shared" si="4"/>
        <v>0</v>
      </c>
      <c r="J34" s="257" t="str">
        <f>IFERROR(#REF!/H34,"")</f>
        <v/>
      </c>
      <c r="K34" s="165"/>
    </row>
    <row r="35" spans="1:11">
      <c r="A35" s="79">
        <f t="shared" si="2"/>
        <v>26</v>
      </c>
      <c r="B35" s="97"/>
      <c r="C35" s="98" t="s">
        <v>227</v>
      </c>
      <c r="D35" s="98"/>
      <c r="E35" s="135">
        <v>3290</v>
      </c>
      <c r="F35" s="89"/>
      <c r="G35" s="89"/>
      <c r="H35" s="90">
        <f t="shared" si="3"/>
        <v>0</v>
      </c>
      <c r="I35" s="91">
        <f t="shared" si="4"/>
        <v>0</v>
      </c>
      <c r="J35" s="257" t="str">
        <f>IFERROR(#REF!/H35,"")</f>
        <v/>
      </c>
      <c r="K35" s="165"/>
    </row>
    <row r="36" spans="1:11">
      <c r="A36" s="79">
        <f t="shared" si="2"/>
        <v>27</v>
      </c>
      <c r="B36" s="100"/>
      <c r="C36" s="98" t="s">
        <v>228</v>
      </c>
      <c r="D36" s="101"/>
      <c r="E36" s="135">
        <v>3190</v>
      </c>
      <c r="F36" s="103"/>
      <c r="G36" s="103"/>
      <c r="H36" s="90">
        <f t="shared" si="3"/>
        <v>0</v>
      </c>
      <c r="I36" s="91">
        <f t="shared" si="4"/>
        <v>0</v>
      </c>
      <c r="J36" s="257" t="str">
        <f>IFERROR(#REF!/H36,"")</f>
        <v/>
      </c>
      <c r="K36" s="165"/>
    </row>
    <row r="37" spans="1:11" hidden="1">
      <c r="A37" s="79">
        <f t="shared" si="2"/>
        <v>28</v>
      </c>
      <c r="B37" s="97"/>
      <c r="C37" s="98" t="s">
        <v>112</v>
      </c>
      <c r="D37" s="98"/>
      <c r="E37" s="143"/>
      <c r="F37" s="89"/>
      <c r="G37" s="89"/>
      <c r="H37" s="104">
        <f t="shared" si="3"/>
        <v>0</v>
      </c>
      <c r="I37" s="105">
        <f t="shared" si="4"/>
        <v>0</v>
      </c>
      <c r="J37" s="262" t="str">
        <f>IFERROR(#REF!/H37,"")</f>
        <v/>
      </c>
      <c r="K37" s="165"/>
    </row>
    <row r="38" spans="1:11" ht="18" customHeight="1">
      <c r="A38" s="106">
        <f t="shared" si="2"/>
        <v>29</v>
      </c>
      <c r="B38" s="107" t="s">
        <v>127</v>
      </c>
      <c r="C38" s="15"/>
      <c r="D38" s="15"/>
      <c r="E38" s="108"/>
      <c r="F38" s="263">
        <f>SUM(F25:F37)</f>
        <v>837434</v>
      </c>
      <c r="G38" s="109">
        <f>SUM(G25:G37)</f>
        <v>0</v>
      </c>
      <c r="H38" s="110">
        <f t="shared" si="3"/>
        <v>837434</v>
      </c>
      <c r="I38" s="111">
        <f t="shared" si="4"/>
        <v>0.35845943182163537</v>
      </c>
      <c r="J38" s="264" t="str">
        <f>IFERROR(#REF!/H38,"")</f>
        <v/>
      </c>
      <c r="K38" s="265"/>
    </row>
    <row r="39" spans="1:11" ht="15.75" hidden="1" thickBot="1">
      <c r="A39" s="144">
        <f t="shared" si="2"/>
        <v>30</v>
      </c>
      <c r="B39" s="145"/>
      <c r="C39" s="146"/>
      <c r="D39" s="146"/>
      <c r="E39" s="147"/>
      <c r="F39" s="148"/>
      <c r="G39" s="148"/>
      <c r="H39" s="149"/>
      <c r="I39" s="150"/>
      <c r="J39" s="274"/>
      <c r="K39" s="275"/>
    </row>
    <row r="40" spans="1:11" ht="18" customHeight="1">
      <c r="A40" s="152">
        <f t="shared" si="2"/>
        <v>31</v>
      </c>
      <c r="B40" s="7" t="s">
        <v>128</v>
      </c>
      <c r="C40" s="7"/>
      <c r="D40" s="7"/>
      <c r="E40" s="119"/>
      <c r="F40" s="75"/>
      <c r="G40" s="75"/>
      <c r="H40" s="76"/>
      <c r="I40" s="91"/>
      <c r="J40" s="257"/>
      <c r="K40" s="276"/>
    </row>
    <row r="41" spans="1:11">
      <c r="A41" s="154">
        <f t="shared" si="2"/>
        <v>32</v>
      </c>
      <c r="B41" s="123"/>
      <c r="C41" s="123" t="s">
        <v>129</v>
      </c>
      <c r="D41" s="123"/>
      <c r="E41" s="124"/>
      <c r="F41" s="155"/>
      <c r="G41" s="155"/>
      <c r="H41" s="156"/>
      <c r="I41" s="84"/>
      <c r="J41" s="255"/>
      <c r="K41" s="277"/>
    </row>
    <row r="42" spans="1:11">
      <c r="A42" s="154">
        <f t="shared" si="2"/>
        <v>33</v>
      </c>
      <c r="B42" s="14"/>
      <c r="C42" s="14"/>
      <c r="D42" s="14" t="s">
        <v>130</v>
      </c>
      <c r="E42" s="87">
        <v>4110</v>
      </c>
      <c r="F42" s="82">
        <v>0</v>
      </c>
      <c r="G42" s="95"/>
      <c r="H42" s="90">
        <f>G42+F42</f>
        <v>0</v>
      </c>
      <c r="I42" s="91">
        <f>H42/$H$84</f>
        <v>0</v>
      </c>
      <c r="J42" s="257" t="str">
        <f>IFERROR(#REF!/H42,"")</f>
        <v/>
      </c>
      <c r="K42" s="165"/>
    </row>
    <row r="43" spans="1:11">
      <c r="A43" s="154">
        <f t="shared" si="2"/>
        <v>34</v>
      </c>
      <c r="B43" s="14"/>
      <c r="C43" s="14"/>
      <c r="D43" s="14" t="s">
        <v>131</v>
      </c>
      <c r="E43" s="87">
        <v>4190</v>
      </c>
      <c r="F43" s="82">
        <v>0</v>
      </c>
      <c r="G43" s="82">
        <v>0</v>
      </c>
      <c r="H43" s="90">
        <f>G43+F43</f>
        <v>0</v>
      </c>
      <c r="I43" s="91">
        <f>H43/$H$84</f>
        <v>0</v>
      </c>
      <c r="J43" s="257" t="str">
        <f>IFERROR(#REF!/H43,"")</f>
        <v/>
      </c>
      <c r="K43" s="165"/>
    </row>
    <row r="44" spans="1:11">
      <c r="A44" s="154">
        <f t="shared" si="2"/>
        <v>35</v>
      </c>
      <c r="B44" s="131"/>
      <c r="C44" s="131" t="s">
        <v>132</v>
      </c>
      <c r="D44" s="131"/>
      <c r="E44" s="132"/>
      <c r="F44" s="159"/>
      <c r="G44" s="88"/>
      <c r="H44" s="90"/>
      <c r="I44" s="91"/>
      <c r="J44" s="257"/>
      <c r="K44" s="278"/>
    </row>
    <row r="45" spans="1:11">
      <c r="A45" s="154">
        <f t="shared" si="2"/>
        <v>36</v>
      </c>
      <c r="B45" s="14"/>
      <c r="C45" s="14"/>
      <c r="D45" s="14" t="s">
        <v>133</v>
      </c>
      <c r="E45" s="87">
        <v>4330</v>
      </c>
      <c r="F45" s="82">
        <v>0</v>
      </c>
      <c r="G45" s="95"/>
      <c r="H45" s="90">
        <f>G45+F45</f>
        <v>0</v>
      </c>
      <c r="I45" s="91">
        <f>H45/$H$84</f>
        <v>0</v>
      </c>
      <c r="J45" s="257" t="str">
        <f>IFERROR(#REF!/H45,"")</f>
        <v/>
      </c>
      <c r="K45" s="278"/>
    </row>
    <row r="46" spans="1:11">
      <c r="A46" s="154">
        <f t="shared" si="2"/>
        <v>37</v>
      </c>
      <c r="B46" s="14"/>
      <c r="C46" s="14"/>
      <c r="D46" s="14" t="s">
        <v>134</v>
      </c>
      <c r="E46" s="87">
        <v>4390</v>
      </c>
      <c r="F46" s="162"/>
      <c r="G46" s="82">
        <v>0</v>
      </c>
      <c r="H46" s="90">
        <f>G46+F46</f>
        <v>0</v>
      </c>
      <c r="I46" s="91">
        <f>H46/$H$84</f>
        <v>0</v>
      </c>
      <c r="J46" s="257" t="str">
        <f>IFERROR(#REF!/H46,"")</f>
        <v/>
      </c>
      <c r="K46" s="165"/>
    </row>
    <row r="47" spans="1:11" hidden="1">
      <c r="A47" s="154">
        <f t="shared" si="2"/>
        <v>38</v>
      </c>
      <c r="B47" s="98"/>
      <c r="C47" s="98"/>
      <c r="D47" s="98"/>
      <c r="E47" s="99"/>
      <c r="F47" s="82"/>
      <c r="G47" s="89"/>
      <c r="H47" s="90">
        <f>G47+F47</f>
        <v>0</v>
      </c>
      <c r="I47" s="91">
        <f>H47/$H$84</f>
        <v>0</v>
      </c>
      <c r="J47" s="257" t="str">
        <f>IFERROR(#REF!/H47,"")</f>
        <v/>
      </c>
      <c r="K47" s="165"/>
    </row>
    <row r="48" spans="1:11">
      <c r="A48" s="154">
        <f t="shared" si="2"/>
        <v>39</v>
      </c>
      <c r="B48" s="131" t="s">
        <v>135</v>
      </c>
      <c r="C48" s="131"/>
      <c r="D48" s="131"/>
      <c r="E48" s="132"/>
      <c r="F48" s="159"/>
      <c r="G48" s="88"/>
      <c r="H48" s="90"/>
      <c r="I48" s="91"/>
      <c r="J48" s="257"/>
      <c r="K48" s="278"/>
    </row>
    <row r="49" spans="1:11">
      <c r="A49" s="154">
        <f t="shared" si="2"/>
        <v>40</v>
      </c>
      <c r="B49" s="14"/>
      <c r="C49" s="14"/>
      <c r="D49" s="14" t="s">
        <v>136</v>
      </c>
      <c r="E49" s="87">
        <v>4510</v>
      </c>
      <c r="F49" s="120"/>
      <c r="G49" s="258">
        <v>70000</v>
      </c>
      <c r="H49" s="90">
        <f>G49+F49</f>
        <v>70000</v>
      </c>
      <c r="I49" s="91">
        <f>H49/$H$84</f>
        <v>2.9963149606434029E-2</v>
      </c>
      <c r="J49" s="257" t="str">
        <f>IFERROR(#REF!/H49,"")</f>
        <v/>
      </c>
      <c r="K49" s="165" t="s">
        <v>229</v>
      </c>
    </row>
    <row r="50" spans="1:11">
      <c r="A50" s="154">
        <f t="shared" si="2"/>
        <v>41</v>
      </c>
      <c r="B50" s="14"/>
      <c r="C50" s="14"/>
      <c r="D50" s="14" t="s">
        <v>137</v>
      </c>
      <c r="E50" s="87">
        <v>4515</v>
      </c>
      <c r="F50" s="120"/>
      <c r="G50" s="82">
        <v>0</v>
      </c>
      <c r="H50" s="90">
        <f>G50+F50</f>
        <v>0</v>
      </c>
      <c r="I50" s="91">
        <f>H50/$H$84</f>
        <v>0</v>
      </c>
      <c r="J50" s="257" t="str">
        <f>IFERROR(#REF!/H50,"")</f>
        <v/>
      </c>
      <c r="K50" s="165"/>
    </row>
    <row r="51" spans="1:11">
      <c r="A51" s="154">
        <f t="shared" si="2"/>
        <v>42</v>
      </c>
      <c r="B51" s="131"/>
      <c r="C51" s="131"/>
      <c r="D51" s="131" t="s">
        <v>138</v>
      </c>
      <c r="E51" s="132"/>
      <c r="F51" s="120"/>
      <c r="G51" s="88"/>
      <c r="H51" s="90"/>
      <c r="I51" s="91"/>
      <c r="J51" s="257"/>
      <c r="K51" s="278"/>
    </row>
    <row r="52" spans="1:11">
      <c r="A52" s="154">
        <f t="shared" si="2"/>
        <v>43</v>
      </c>
      <c r="B52" s="14"/>
      <c r="C52" s="14"/>
      <c r="D52" s="14" t="s">
        <v>139</v>
      </c>
      <c r="E52" s="87" t="s">
        <v>140</v>
      </c>
      <c r="F52" s="120"/>
      <c r="G52" s="258">
        <f>34350+3972</f>
        <v>38322</v>
      </c>
      <c r="H52" s="90">
        <f>G52+F52</f>
        <v>38322</v>
      </c>
      <c r="I52" s="91">
        <f>H52/$H$84</f>
        <v>1.64035402745395E-2</v>
      </c>
      <c r="J52" s="257" t="str">
        <f>IFERROR(#REF!/H52,"")</f>
        <v/>
      </c>
      <c r="K52" s="165"/>
    </row>
    <row r="53" spans="1:11">
      <c r="A53" s="154">
        <f t="shared" si="2"/>
        <v>44</v>
      </c>
      <c r="B53" s="14"/>
      <c r="C53" s="14"/>
      <c r="D53" s="14" t="s">
        <v>141</v>
      </c>
      <c r="E53" s="87" t="s">
        <v>142</v>
      </c>
      <c r="F53" s="120"/>
      <c r="G53" s="82">
        <v>0</v>
      </c>
      <c r="H53" s="90">
        <f>G53+F53</f>
        <v>0</v>
      </c>
      <c r="I53" s="91">
        <f>H53/$H$84</f>
        <v>0</v>
      </c>
      <c r="J53" s="257" t="str">
        <f>IFERROR(#REF!/H53,"")</f>
        <v/>
      </c>
      <c r="K53" s="165"/>
    </row>
    <row r="54" spans="1:11">
      <c r="A54" s="154">
        <f t="shared" si="2"/>
        <v>45</v>
      </c>
      <c r="B54" s="14"/>
      <c r="C54" s="14"/>
      <c r="D54" s="138" t="s">
        <v>143</v>
      </c>
      <c r="E54" s="87">
        <v>4535</v>
      </c>
      <c r="F54" s="120"/>
      <c r="G54" s="82">
        <v>0</v>
      </c>
      <c r="H54" s="90">
        <f>G54+F54</f>
        <v>0</v>
      </c>
      <c r="I54" s="91">
        <f>H54/$H$84</f>
        <v>0</v>
      </c>
      <c r="J54" s="257" t="str">
        <f>IFERROR(#REF!/H54,"")</f>
        <v/>
      </c>
      <c r="K54" s="165"/>
    </row>
    <row r="55" spans="1:11">
      <c r="A55" s="154">
        <f t="shared" si="2"/>
        <v>46</v>
      </c>
      <c r="B55" s="14"/>
      <c r="C55" s="14"/>
      <c r="D55" s="14" t="s">
        <v>144</v>
      </c>
      <c r="E55" s="87" t="s">
        <v>145</v>
      </c>
      <c r="F55" s="120"/>
      <c r="G55" s="82">
        <v>0</v>
      </c>
      <c r="H55" s="90">
        <f>G55+F55</f>
        <v>0</v>
      </c>
      <c r="I55" s="91">
        <f>H55/$H$84</f>
        <v>0</v>
      </c>
      <c r="J55" s="257" t="str">
        <f>IFERROR(#REF!/H55,"")</f>
        <v/>
      </c>
      <c r="K55" s="165"/>
    </row>
    <row r="56" spans="1:11">
      <c r="A56" s="154">
        <f t="shared" si="2"/>
        <v>47</v>
      </c>
      <c r="B56" s="131"/>
      <c r="C56" s="131"/>
      <c r="D56" s="131" t="s">
        <v>146</v>
      </c>
      <c r="E56" s="132"/>
      <c r="F56" s="120"/>
      <c r="G56" s="88"/>
      <c r="H56" s="90"/>
      <c r="I56" s="91"/>
      <c r="J56" s="257"/>
      <c r="K56" s="278"/>
    </row>
    <row r="57" spans="1:11">
      <c r="A57" s="154">
        <f t="shared" si="2"/>
        <v>48</v>
      </c>
      <c r="B57" s="14"/>
      <c r="C57" s="14"/>
      <c r="D57" s="14" t="s">
        <v>147</v>
      </c>
      <c r="E57" s="87" t="s">
        <v>148</v>
      </c>
      <c r="F57" s="120"/>
      <c r="G57" s="258">
        <v>65000</v>
      </c>
      <c r="H57" s="90">
        <f t="shared" ref="H57:H69" si="5">G57+F57</f>
        <v>65000</v>
      </c>
      <c r="I57" s="91">
        <f t="shared" ref="I57:I69" si="6">H57/$H$84</f>
        <v>2.7822924634545883E-2</v>
      </c>
      <c r="J57" s="257" t="str">
        <f>IFERROR(#REF!/H57,"")</f>
        <v/>
      </c>
      <c r="K57" s="165"/>
    </row>
    <row r="58" spans="1:11">
      <c r="A58" s="154">
        <f t="shared" si="2"/>
        <v>49</v>
      </c>
      <c r="B58" s="14"/>
      <c r="C58" s="14"/>
      <c r="D58" s="14" t="s">
        <v>149</v>
      </c>
      <c r="E58" s="87">
        <v>4550</v>
      </c>
      <c r="F58" s="120"/>
      <c r="G58" s="258">
        <v>116579</v>
      </c>
      <c r="H58" s="90">
        <f t="shared" si="5"/>
        <v>116579</v>
      </c>
      <c r="I58" s="91">
        <f t="shared" si="6"/>
        <v>4.9901057399549614E-2</v>
      </c>
      <c r="J58" s="257" t="str">
        <f>IFERROR(#REF!/H58,"")</f>
        <v/>
      </c>
      <c r="K58" s="165"/>
    </row>
    <row r="59" spans="1:11">
      <c r="A59" s="154">
        <f t="shared" si="2"/>
        <v>50</v>
      </c>
      <c r="B59" s="14"/>
      <c r="C59" s="14"/>
      <c r="D59" s="14" t="s">
        <v>151</v>
      </c>
      <c r="E59" s="87" t="s">
        <v>152</v>
      </c>
      <c r="F59" s="120"/>
      <c r="G59" s="82"/>
      <c r="H59" s="90">
        <f t="shared" si="5"/>
        <v>0</v>
      </c>
      <c r="I59" s="91">
        <f t="shared" si="6"/>
        <v>0</v>
      </c>
      <c r="J59" s="257" t="str">
        <f>IFERROR(#REF!/H59,"")</f>
        <v/>
      </c>
      <c r="K59" s="165"/>
    </row>
    <row r="60" spans="1:11">
      <c r="A60" s="154">
        <f t="shared" si="2"/>
        <v>51</v>
      </c>
      <c r="B60" s="14"/>
      <c r="C60" s="14"/>
      <c r="D60" s="14" t="s">
        <v>153</v>
      </c>
      <c r="E60" s="87" t="s">
        <v>154</v>
      </c>
      <c r="F60" s="120"/>
      <c r="G60" s="258">
        <v>10000</v>
      </c>
      <c r="H60" s="90">
        <f t="shared" si="5"/>
        <v>10000</v>
      </c>
      <c r="I60" s="91">
        <f t="shared" si="6"/>
        <v>4.2804499437762902E-3</v>
      </c>
      <c r="J60" s="257" t="str">
        <f>IFERROR(#REF!/H60,"")</f>
        <v/>
      </c>
      <c r="K60" s="165"/>
    </row>
    <row r="61" spans="1:11">
      <c r="A61" s="154">
        <f t="shared" si="2"/>
        <v>52</v>
      </c>
      <c r="B61" s="14"/>
      <c r="C61" s="14"/>
      <c r="D61" s="14" t="s">
        <v>155</v>
      </c>
      <c r="E61" s="87" t="s">
        <v>156</v>
      </c>
      <c r="F61" s="120"/>
      <c r="G61" s="258">
        <v>5120</v>
      </c>
      <c r="H61" s="90">
        <f t="shared" si="5"/>
        <v>5120</v>
      </c>
      <c r="I61" s="91">
        <f t="shared" si="6"/>
        <v>2.1915903712134603E-3</v>
      </c>
      <c r="J61" s="257" t="str">
        <f>IFERROR(#REF!/H61,"")</f>
        <v/>
      </c>
      <c r="K61" s="165"/>
    </row>
    <row r="62" spans="1:11">
      <c r="A62" s="154">
        <f t="shared" si="2"/>
        <v>53</v>
      </c>
      <c r="B62" s="14"/>
      <c r="C62" s="14"/>
      <c r="D62" s="14" t="s">
        <v>157</v>
      </c>
      <c r="E62" s="87">
        <v>4559</v>
      </c>
      <c r="F62" s="120"/>
      <c r="G62" s="82">
        <v>0</v>
      </c>
      <c r="H62" s="90">
        <f t="shared" si="5"/>
        <v>0</v>
      </c>
      <c r="I62" s="91">
        <f t="shared" si="6"/>
        <v>0</v>
      </c>
      <c r="J62" s="257" t="str">
        <f>IFERROR(#REF!/H62,"")</f>
        <v/>
      </c>
      <c r="K62" s="165"/>
    </row>
    <row r="63" spans="1:11">
      <c r="A63" s="154">
        <f t="shared" si="2"/>
        <v>54</v>
      </c>
      <c r="B63" s="14"/>
      <c r="C63" s="14"/>
      <c r="D63" s="14" t="s">
        <v>158</v>
      </c>
      <c r="E63" s="87">
        <v>4553</v>
      </c>
      <c r="F63" s="120"/>
      <c r="G63" s="82"/>
      <c r="H63" s="90">
        <f t="shared" si="5"/>
        <v>0</v>
      </c>
      <c r="I63" s="91">
        <f t="shared" si="6"/>
        <v>0</v>
      </c>
      <c r="J63" s="257" t="str">
        <f>IFERROR(#REF!/H63,"")</f>
        <v/>
      </c>
      <c r="K63" s="165"/>
    </row>
    <row r="64" spans="1:11">
      <c r="A64" s="154">
        <f t="shared" si="2"/>
        <v>55</v>
      </c>
      <c r="B64" s="14"/>
      <c r="C64" s="14"/>
      <c r="D64" s="14" t="s">
        <v>159</v>
      </c>
      <c r="E64" s="87">
        <v>4559</v>
      </c>
      <c r="F64" s="120"/>
      <c r="G64" s="82"/>
      <c r="H64" s="90">
        <f t="shared" si="5"/>
        <v>0</v>
      </c>
      <c r="I64" s="91">
        <f t="shared" si="6"/>
        <v>0</v>
      </c>
      <c r="J64" s="257" t="str">
        <f>IFERROR(#REF!/H64,"")</f>
        <v/>
      </c>
      <c r="K64" s="165"/>
    </row>
    <row r="65" spans="1:11">
      <c r="A65" s="154">
        <f t="shared" si="2"/>
        <v>56</v>
      </c>
      <c r="B65" s="131"/>
      <c r="C65" s="131"/>
      <c r="D65" s="131" t="s">
        <v>160</v>
      </c>
      <c r="E65" s="163"/>
      <c r="F65" s="164"/>
      <c r="G65" s="95"/>
      <c r="H65" s="90">
        <f t="shared" si="5"/>
        <v>0</v>
      </c>
      <c r="I65" s="91">
        <f t="shared" si="6"/>
        <v>0</v>
      </c>
      <c r="J65" s="257" t="str">
        <f>IFERROR(#REF!/H65,"")</f>
        <v/>
      </c>
      <c r="K65" s="165"/>
    </row>
    <row r="66" spans="1:11">
      <c r="A66" s="154">
        <f t="shared" si="2"/>
        <v>57</v>
      </c>
      <c r="B66" s="14"/>
      <c r="C66" s="14"/>
      <c r="D66" s="14" t="s">
        <v>161</v>
      </c>
      <c r="E66" s="87">
        <v>4590</v>
      </c>
      <c r="F66" s="120"/>
      <c r="G66" s="82">
        <v>0</v>
      </c>
      <c r="H66" s="90">
        <f t="shared" si="5"/>
        <v>0</v>
      </c>
      <c r="I66" s="91">
        <f t="shared" si="6"/>
        <v>0</v>
      </c>
      <c r="J66" s="257" t="str">
        <f>IFERROR(#REF!/H66,"")</f>
        <v/>
      </c>
      <c r="K66" s="165"/>
    </row>
    <row r="67" spans="1:11">
      <c r="A67" s="154">
        <f t="shared" si="2"/>
        <v>58</v>
      </c>
      <c r="B67" s="14"/>
      <c r="C67" s="14"/>
      <c r="D67" s="14" t="s">
        <v>162</v>
      </c>
      <c r="E67" s="87">
        <v>4590</v>
      </c>
      <c r="F67" s="120"/>
      <c r="G67" s="82"/>
      <c r="H67" s="90">
        <f t="shared" si="5"/>
        <v>0</v>
      </c>
      <c r="I67" s="91">
        <f t="shared" si="6"/>
        <v>0</v>
      </c>
      <c r="J67" s="257" t="str">
        <f>IFERROR(#REF!/H67,"")</f>
        <v/>
      </c>
      <c r="K67" s="165"/>
    </row>
    <row r="68" spans="1:11">
      <c r="A68" s="154">
        <f t="shared" si="2"/>
        <v>59</v>
      </c>
      <c r="B68" s="14"/>
      <c r="C68" s="14"/>
      <c r="D68" s="14" t="s">
        <v>163</v>
      </c>
      <c r="E68" s="87">
        <v>4590</v>
      </c>
      <c r="F68" s="120"/>
      <c r="G68" s="258"/>
      <c r="H68" s="90">
        <f t="shared" si="5"/>
        <v>0</v>
      </c>
      <c r="I68" s="91">
        <f t="shared" si="6"/>
        <v>0</v>
      </c>
      <c r="J68" s="257" t="str">
        <f>IFERROR(#REF!/H68,"")</f>
        <v/>
      </c>
      <c r="K68" s="165"/>
    </row>
    <row r="69" spans="1:11">
      <c r="A69" s="154">
        <f t="shared" si="2"/>
        <v>60</v>
      </c>
      <c r="B69" s="14"/>
      <c r="C69" s="14"/>
      <c r="D69" s="14" t="s">
        <v>164</v>
      </c>
      <c r="E69" s="87">
        <v>4590</v>
      </c>
      <c r="F69" s="120"/>
      <c r="G69" s="279"/>
      <c r="H69" s="90">
        <f t="shared" si="5"/>
        <v>0</v>
      </c>
      <c r="I69" s="91">
        <f t="shared" si="6"/>
        <v>0</v>
      </c>
      <c r="J69" s="257" t="str">
        <f>IFERROR(#REF!/H69,"")</f>
        <v/>
      </c>
      <c r="K69" s="165"/>
    </row>
    <row r="70" spans="1:11">
      <c r="A70" s="154">
        <f t="shared" si="2"/>
        <v>61</v>
      </c>
      <c r="B70" s="14"/>
      <c r="C70" s="14"/>
      <c r="D70" s="14" t="s">
        <v>165</v>
      </c>
      <c r="E70" s="87">
        <v>4590</v>
      </c>
      <c r="F70" s="120"/>
      <c r="G70" s="82"/>
      <c r="H70" s="90"/>
      <c r="I70" s="91"/>
      <c r="J70" s="257"/>
      <c r="K70" s="165"/>
    </row>
    <row r="71" spans="1:11">
      <c r="A71" s="154">
        <f t="shared" si="2"/>
        <v>62</v>
      </c>
      <c r="B71" s="14"/>
      <c r="C71" s="14"/>
      <c r="D71" s="14" t="s">
        <v>166</v>
      </c>
      <c r="E71" s="87">
        <v>4590</v>
      </c>
      <c r="F71" s="120"/>
      <c r="G71" s="258"/>
      <c r="H71" s="90">
        <f t="shared" ref="H71:H79" si="7">G71+F71</f>
        <v>0</v>
      </c>
      <c r="I71" s="91">
        <f t="shared" ref="I71:I79" si="8">H71/$H$84</f>
        <v>0</v>
      </c>
      <c r="J71" s="257" t="str">
        <f>IFERROR(#REF!/H71,"")</f>
        <v/>
      </c>
      <c r="K71" s="165"/>
    </row>
    <row r="72" spans="1:11">
      <c r="A72" s="154">
        <f t="shared" si="2"/>
        <v>63</v>
      </c>
      <c r="B72" s="14"/>
      <c r="C72" s="14"/>
      <c r="D72" s="14" t="s">
        <v>167</v>
      </c>
      <c r="E72" s="87">
        <v>4580</v>
      </c>
      <c r="F72" s="120"/>
      <c r="G72" s="82">
        <v>0</v>
      </c>
      <c r="H72" s="90">
        <f t="shared" si="7"/>
        <v>0</v>
      </c>
      <c r="I72" s="91">
        <f t="shared" si="8"/>
        <v>0</v>
      </c>
      <c r="J72" s="257" t="str">
        <f>IFERROR(#REF!/H72,"")</f>
        <v/>
      </c>
      <c r="K72" s="165"/>
    </row>
    <row r="73" spans="1:11">
      <c r="A73" s="154">
        <f t="shared" si="2"/>
        <v>64</v>
      </c>
      <c r="B73" s="14"/>
      <c r="C73" s="14"/>
      <c r="D73" s="14" t="s">
        <v>168</v>
      </c>
      <c r="E73" s="87" t="s">
        <v>169</v>
      </c>
      <c r="F73" s="120"/>
      <c r="G73" s="82">
        <v>0</v>
      </c>
      <c r="H73" s="90">
        <f t="shared" si="7"/>
        <v>0</v>
      </c>
      <c r="I73" s="91">
        <f t="shared" si="8"/>
        <v>0</v>
      </c>
      <c r="J73" s="257" t="str">
        <f>IFERROR(#REF!/H73,"")</f>
        <v/>
      </c>
      <c r="K73" s="165"/>
    </row>
    <row r="74" spans="1:11">
      <c r="A74" s="154">
        <f t="shared" si="2"/>
        <v>65</v>
      </c>
      <c r="B74" s="14"/>
      <c r="C74" s="14"/>
      <c r="D74" s="166" t="s">
        <v>170</v>
      </c>
      <c r="E74" s="87">
        <v>4590</v>
      </c>
      <c r="F74" s="120"/>
      <c r="G74" s="82">
        <v>0</v>
      </c>
      <c r="H74" s="90">
        <f t="shared" si="7"/>
        <v>0</v>
      </c>
      <c r="I74" s="91">
        <f t="shared" si="8"/>
        <v>0</v>
      </c>
      <c r="J74" s="257" t="str">
        <f>IFERROR(#REF!/H74,"")</f>
        <v/>
      </c>
      <c r="K74" s="165"/>
    </row>
    <row r="75" spans="1:11" hidden="1">
      <c r="A75" s="154">
        <f t="shared" si="2"/>
        <v>66</v>
      </c>
      <c r="B75" s="101"/>
      <c r="C75" s="98" t="s">
        <v>112</v>
      </c>
      <c r="D75" s="101"/>
      <c r="E75" s="102"/>
      <c r="F75" s="103"/>
      <c r="G75" s="103"/>
      <c r="H75" s="90">
        <f t="shared" si="7"/>
        <v>0</v>
      </c>
      <c r="I75" s="91">
        <f t="shared" si="8"/>
        <v>0</v>
      </c>
      <c r="J75" s="257" t="str">
        <f>IFERROR(#REF!/H75,"")</f>
        <v/>
      </c>
      <c r="K75" s="165"/>
    </row>
    <row r="76" spans="1:11" hidden="1">
      <c r="A76" s="154">
        <f t="shared" si="2"/>
        <v>67</v>
      </c>
      <c r="B76" s="101"/>
      <c r="C76" s="98" t="s">
        <v>112</v>
      </c>
      <c r="D76" s="101"/>
      <c r="E76" s="102"/>
      <c r="F76" s="103"/>
      <c r="G76" s="103"/>
      <c r="H76" s="90">
        <f t="shared" si="7"/>
        <v>0</v>
      </c>
      <c r="I76" s="91">
        <f t="shared" si="8"/>
        <v>0</v>
      </c>
      <c r="J76" s="257" t="str">
        <f>IFERROR(#REF!/H76,"")</f>
        <v/>
      </c>
      <c r="K76" s="165"/>
    </row>
    <row r="77" spans="1:11" ht="14.25" hidden="1" customHeight="1">
      <c r="A77" s="154">
        <f t="shared" ref="A77:A140" si="9">A76+1</f>
        <v>68</v>
      </c>
      <c r="B77" s="101"/>
      <c r="C77" s="98" t="s">
        <v>112</v>
      </c>
      <c r="D77" s="101"/>
      <c r="E77" s="102"/>
      <c r="F77" s="103"/>
      <c r="G77" s="103"/>
      <c r="H77" s="90">
        <f t="shared" si="7"/>
        <v>0</v>
      </c>
      <c r="I77" s="91">
        <f t="shared" si="8"/>
        <v>0</v>
      </c>
      <c r="J77" s="257" t="str">
        <f>IFERROR(#REF!/H77,"")</f>
        <v/>
      </c>
      <c r="K77" s="165"/>
    </row>
    <row r="78" spans="1:11" ht="14.25" hidden="1" customHeight="1">
      <c r="A78" s="154">
        <f t="shared" si="9"/>
        <v>69</v>
      </c>
      <c r="B78" s="98"/>
      <c r="C78" s="98" t="s">
        <v>112</v>
      </c>
      <c r="D78" s="98"/>
      <c r="E78" s="143"/>
      <c r="F78" s="89"/>
      <c r="G78" s="89"/>
      <c r="H78" s="104">
        <f t="shared" si="7"/>
        <v>0</v>
      </c>
      <c r="I78" s="105">
        <f t="shared" si="8"/>
        <v>0</v>
      </c>
      <c r="J78" s="262" t="str">
        <f>IFERROR(#REF!/H78,"")</f>
        <v/>
      </c>
      <c r="K78" s="165"/>
    </row>
    <row r="79" spans="1:11">
      <c r="A79" s="167">
        <f t="shared" si="9"/>
        <v>70</v>
      </c>
      <c r="B79" s="15" t="s">
        <v>171</v>
      </c>
      <c r="C79" s="15"/>
      <c r="D79" s="15"/>
      <c r="E79" s="108"/>
      <c r="F79" s="109">
        <f>SUM(F42:F78)</f>
        <v>0</v>
      </c>
      <c r="G79" s="280">
        <f>SUM(G49:G78)</f>
        <v>305021</v>
      </c>
      <c r="H79" s="110">
        <f t="shared" si="7"/>
        <v>305021</v>
      </c>
      <c r="I79" s="111">
        <f t="shared" si="8"/>
        <v>0.13056271223005878</v>
      </c>
      <c r="J79" s="264" t="str">
        <f>IFERROR(#REF!/H79,"")</f>
        <v/>
      </c>
      <c r="K79" s="265"/>
    </row>
    <row r="80" spans="1:11" ht="18" hidden="1" customHeight="1">
      <c r="A80" s="154">
        <f t="shared" si="9"/>
        <v>71</v>
      </c>
      <c r="B80" s="14"/>
      <c r="C80" s="14"/>
      <c r="D80" s="14"/>
      <c r="E80" s="168"/>
      <c r="F80" s="169"/>
      <c r="G80" s="169"/>
      <c r="H80" s="170"/>
      <c r="I80" s="171"/>
      <c r="J80" s="281"/>
      <c r="K80" s="282"/>
    </row>
    <row r="81" spans="1:11">
      <c r="A81" s="167">
        <f t="shared" si="9"/>
        <v>72</v>
      </c>
      <c r="B81" s="15" t="s">
        <v>172</v>
      </c>
      <c r="C81" s="15"/>
      <c r="D81" s="15"/>
      <c r="E81" s="124"/>
      <c r="F81" s="125"/>
      <c r="G81" s="125"/>
      <c r="H81" s="83"/>
      <c r="I81" s="84"/>
      <c r="J81" s="255"/>
      <c r="K81" s="283"/>
    </row>
    <row r="82" spans="1:11" ht="18" hidden="1" customHeight="1">
      <c r="A82" s="154">
        <f t="shared" si="9"/>
        <v>73</v>
      </c>
      <c r="B82" s="98"/>
      <c r="C82" s="98"/>
      <c r="D82" s="98"/>
      <c r="E82" s="99"/>
      <c r="F82" s="89"/>
      <c r="G82" s="89"/>
      <c r="H82" s="90">
        <f>G82+F82</f>
        <v>0</v>
      </c>
      <c r="I82" s="91">
        <f>H82/$H$84</f>
        <v>0</v>
      </c>
      <c r="J82" s="257" t="str">
        <f>IFERROR(#REF!/H82,"")</f>
        <v/>
      </c>
      <c r="K82" s="165"/>
    </row>
    <row r="83" spans="1:11" hidden="1">
      <c r="A83" s="154">
        <f t="shared" si="9"/>
        <v>74</v>
      </c>
      <c r="B83" s="98"/>
      <c r="C83" s="98"/>
      <c r="D83" s="98"/>
      <c r="E83" s="143"/>
      <c r="F83" s="89"/>
      <c r="G83" s="89"/>
      <c r="H83" s="104">
        <f>G83+F83</f>
        <v>0</v>
      </c>
      <c r="I83" s="105">
        <f>H83/$H$84</f>
        <v>0</v>
      </c>
      <c r="J83" s="262" t="str">
        <f>IFERROR(#REF!/H83,"")</f>
        <v/>
      </c>
      <c r="K83" s="165"/>
    </row>
    <row r="84" spans="1:11" ht="18.75" customHeight="1" thickBot="1">
      <c r="A84" s="174">
        <f t="shared" si="9"/>
        <v>75</v>
      </c>
      <c r="B84" s="39" t="s">
        <v>173</v>
      </c>
      <c r="C84" s="39"/>
      <c r="D84" s="39"/>
      <c r="E84" s="175"/>
      <c r="F84" s="176">
        <f>F21+F38+F79+F82+F83</f>
        <v>2031182</v>
      </c>
      <c r="G84" s="176">
        <f>G21+G38+G79+G82+G83</f>
        <v>305021</v>
      </c>
      <c r="H84" s="177">
        <f>G84+F84</f>
        <v>2336203</v>
      </c>
      <c r="I84" s="178">
        <f>H84/$H$84</f>
        <v>1</v>
      </c>
      <c r="J84" s="284" t="str">
        <f>IFERROR(#REF!/H84,"")</f>
        <v/>
      </c>
      <c r="K84" s="285"/>
    </row>
    <row r="85" spans="1:11" ht="20.25" customHeight="1" thickTop="1">
      <c r="A85" s="180">
        <f t="shared" si="9"/>
        <v>76</v>
      </c>
      <c r="B85" s="336" t="s">
        <v>3</v>
      </c>
      <c r="C85" s="337"/>
      <c r="D85" s="337"/>
      <c r="E85" s="70"/>
      <c r="F85" s="181"/>
      <c r="G85" s="182"/>
      <c r="H85" s="183"/>
      <c r="I85" s="184"/>
      <c r="J85" s="286"/>
      <c r="K85" s="287"/>
    </row>
    <row r="86" spans="1:11" ht="17.25" customHeight="1">
      <c r="A86" s="186">
        <f t="shared" si="9"/>
        <v>77</v>
      </c>
      <c r="B86" s="6"/>
      <c r="C86" s="7"/>
      <c r="D86" s="7" t="s">
        <v>4</v>
      </c>
      <c r="E86" s="187"/>
      <c r="F86" s="188"/>
      <c r="G86" s="188"/>
      <c r="H86" s="189"/>
      <c r="I86" s="91"/>
      <c r="J86" s="257"/>
      <c r="K86" s="288"/>
    </row>
    <row r="87" spans="1:11" ht="17.25" customHeight="1">
      <c r="A87" s="154">
        <f t="shared" si="9"/>
        <v>78</v>
      </c>
      <c r="B87" s="9"/>
      <c r="C87" s="10" t="s">
        <v>174</v>
      </c>
      <c r="D87" s="20"/>
      <c r="E87" s="191"/>
      <c r="F87" s="192"/>
      <c r="G87" s="192"/>
      <c r="H87" s="83"/>
      <c r="I87" s="84"/>
      <c r="J87" s="255"/>
      <c r="K87" s="283"/>
    </row>
    <row r="88" spans="1:11">
      <c r="A88" s="154">
        <f t="shared" si="9"/>
        <v>79</v>
      </c>
      <c r="B88" s="9"/>
      <c r="C88" s="12"/>
      <c r="D88" s="14" t="s">
        <v>175</v>
      </c>
      <c r="E88" s="87">
        <v>111</v>
      </c>
      <c r="F88" s="279">
        <v>102199</v>
      </c>
      <c r="G88" s="279"/>
      <c r="H88" s="90">
        <f t="shared" ref="H88:H96" si="10">G88+F88</f>
        <v>102199</v>
      </c>
      <c r="I88" s="91">
        <f>H88/$H$155</f>
        <v>4.3759591795441394E-2</v>
      </c>
      <c r="J88" s="257" t="str">
        <f>IFERROR(#REF!/H88,"")</f>
        <v/>
      </c>
      <c r="K88" s="165"/>
    </row>
    <row r="89" spans="1:11" ht="28.5">
      <c r="A89" s="154">
        <f t="shared" si="9"/>
        <v>80</v>
      </c>
      <c r="B89" s="9"/>
      <c r="C89" s="12"/>
      <c r="D89" s="165" t="s">
        <v>230</v>
      </c>
      <c r="E89" s="87">
        <v>111</v>
      </c>
      <c r="F89" s="279">
        <f>65195-G89</f>
        <v>18722</v>
      </c>
      <c r="G89" s="279">
        <v>46473</v>
      </c>
      <c r="H89" s="90">
        <f t="shared" si="10"/>
        <v>65195</v>
      </c>
      <c r="I89" s="91">
        <f t="shared" ref="I89:I96" si="11">H89/$H$155</f>
        <v>2.791521039446376E-2</v>
      </c>
      <c r="J89" s="257" t="str">
        <f>IFERROR(#REF!/H89,"")</f>
        <v/>
      </c>
      <c r="K89" s="165"/>
    </row>
    <row r="90" spans="1:11" ht="15" customHeight="1">
      <c r="A90" s="154">
        <f t="shared" si="9"/>
        <v>81</v>
      </c>
      <c r="B90" s="9"/>
      <c r="C90" s="12"/>
      <c r="D90" s="14" t="s">
        <v>177</v>
      </c>
      <c r="E90" s="87">
        <v>111</v>
      </c>
      <c r="F90" s="279">
        <v>52844</v>
      </c>
      <c r="G90" s="82"/>
      <c r="H90" s="90">
        <f t="shared" si="10"/>
        <v>52844</v>
      </c>
      <c r="I90" s="91">
        <f t="shared" si="11"/>
        <v>2.2626756316972817E-2</v>
      </c>
      <c r="J90" s="257" t="str">
        <f>IFERROR(#REF!/H90,"")</f>
        <v/>
      </c>
      <c r="K90" s="165"/>
    </row>
    <row r="91" spans="1:11">
      <c r="A91" s="154">
        <f t="shared" si="9"/>
        <v>82</v>
      </c>
      <c r="B91" s="9"/>
      <c r="C91" s="14" t="s">
        <v>178</v>
      </c>
      <c r="D91" s="14"/>
      <c r="E91" s="87">
        <v>112</v>
      </c>
      <c r="F91" s="279">
        <f>60899+50737+51749+47999+50249+47999</f>
        <v>309632</v>
      </c>
      <c r="G91" s="279">
        <f>57749+27784+21879+21984</f>
        <v>129396</v>
      </c>
      <c r="H91" s="90">
        <f t="shared" si="10"/>
        <v>439028</v>
      </c>
      <c r="I91" s="91">
        <f t="shared" si="11"/>
        <v>0.18798311203406143</v>
      </c>
      <c r="J91" s="257" t="str">
        <f>IFERROR(#REF!/H91,"")</f>
        <v/>
      </c>
      <c r="K91" s="165"/>
    </row>
    <row r="92" spans="1:11">
      <c r="A92" s="154">
        <f t="shared" si="9"/>
        <v>83</v>
      </c>
      <c r="B92" s="14"/>
      <c r="C92" s="14" t="s">
        <v>179</v>
      </c>
      <c r="D92" s="14"/>
      <c r="E92" s="87">
        <v>113</v>
      </c>
      <c r="F92" s="279">
        <f>70409+63659+49733</f>
        <v>183801</v>
      </c>
      <c r="G92" s="279"/>
      <c r="H92" s="90">
        <f t="shared" si="10"/>
        <v>183801</v>
      </c>
      <c r="I92" s="91">
        <f t="shared" si="11"/>
        <v>7.8699955298916074E-2</v>
      </c>
      <c r="J92" s="257" t="str">
        <f>IFERROR(#REF!/H92,"")</f>
        <v/>
      </c>
      <c r="K92" s="165"/>
    </row>
    <row r="93" spans="1:11">
      <c r="A93" s="154">
        <f t="shared" si="9"/>
        <v>84</v>
      </c>
      <c r="B93" s="14"/>
      <c r="C93" s="14" t="s">
        <v>10</v>
      </c>
      <c r="D93" s="14"/>
      <c r="E93" s="87">
        <v>114</v>
      </c>
      <c r="F93" s="279">
        <f>44750+18572</f>
        <v>63322</v>
      </c>
      <c r="G93" s="82"/>
      <c r="H93" s="90">
        <f t="shared" si="10"/>
        <v>63322</v>
      </c>
      <c r="I93" s="91">
        <f t="shared" si="11"/>
        <v>2.7113228815066098E-2</v>
      </c>
      <c r="J93" s="257" t="str">
        <f>IFERROR(#REF!/H93,"")</f>
        <v/>
      </c>
      <c r="K93" s="165"/>
    </row>
    <row r="94" spans="1:11" ht="15" customHeight="1">
      <c r="A94" s="154">
        <f t="shared" si="9"/>
        <v>85</v>
      </c>
      <c r="B94" s="14"/>
      <c r="C94" s="14" t="s">
        <v>11</v>
      </c>
      <c r="D94" s="14"/>
      <c r="E94" s="87">
        <v>116</v>
      </c>
      <c r="F94" s="279">
        <v>13500</v>
      </c>
      <c r="G94" s="82"/>
      <c r="H94" s="90">
        <f t="shared" si="10"/>
        <v>13500</v>
      </c>
      <c r="I94" s="91">
        <f t="shared" si="11"/>
        <v>5.7804331670413493E-3</v>
      </c>
      <c r="J94" s="257" t="str">
        <f>IFERROR(#REF!/H94,"")</f>
        <v/>
      </c>
      <c r="K94" s="165"/>
    </row>
    <row r="95" spans="1:11">
      <c r="A95" s="154">
        <f t="shared" si="9"/>
        <v>86</v>
      </c>
      <c r="B95" s="14"/>
      <c r="C95" s="12" t="s">
        <v>180</v>
      </c>
      <c r="D95" s="14"/>
      <c r="E95" s="87" t="s">
        <v>181</v>
      </c>
      <c r="F95" s="82">
        <f>22561+21090+21090+21757+27236-G95</f>
        <v>102811</v>
      </c>
      <c r="G95" s="279">
        <v>10923</v>
      </c>
      <c r="H95" s="104">
        <f t="shared" si="10"/>
        <v>113734</v>
      </c>
      <c r="I95" s="105">
        <f t="shared" si="11"/>
        <v>4.8698650801502277E-2</v>
      </c>
      <c r="J95" s="262" t="str">
        <f>IFERROR(#REF!/H95,"")</f>
        <v/>
      </c>
      <c r="K95" s="165"/>
    </row>
    <row r="96" spans="1:11" ht="15" customHeight="1">
      <c r="A96" s="167">
        <f t="shared" si="9"/>
        <v>87</v>
      </c>
      <c r="B96" s="15"/>
      <c r="C96" s="15"/>
      <c r="D96" s="16" t="s">
        <v>12</v>
      </c>
      <c r="E96" s="196" t="s">
        <v>13</v>
      </c>
      <c r="F96" s="197">
        <f>SUM(F88:F95)</f>
        <v>846831</v>
      </c>
      <c r="G96" s="197">
        <f>SUM(G88:G95)</f>
        <v>186792</v>
      </c>
      <c r="H96" s="110">
        <f t="shared" si="10"/>
        <v>1033623</v>
      </c>
      <c r="I96" s="111">
        <f t="shared" si="11"/>
        <v>0.4425769386234652</v>
      </c>
      <c r="J96" s="264"/>
      <c r="K96" s="265"/>
    </row>
    <row r="97" spans="1:11" ht="17.25" customHeight="1">
      <c r="A97" s="186">
        <f t="shared" si="9"/>
        <v>88</v>
      </c>
      <c r="B97" s="6" t="s">
        <v>14</v>
      </c>
      <c r="C97" s="18"/>
      <c r="D97" s="6"/>
      <c r="E97" s="132"/>
      <c r="F97" s="198"/>
      <c r="G97" s="198"/>
      <c r="H97" s="199"/>
      <c r="I97" s="200"/>
      <c r="J97" s="290"/>
      <c r="K97" s="278"/>
    </row>
    <row r="98" spans="1:11" ht="28.5">
      <c r="A98" s="154">
        <f t="shared" si="9"/>
        <v>89</v>
      </c>
      <c r="B98" s="20"/>
      <c r="C98" s="20" t="s">
        <v>15</v>
      </c>
      <c r="D98" s="20"/>
      <c r="E98" s="81">
        <v>210</v>
      </c>
      <c r="F98" s="279">
        <f>(795*0.8)*12*13</f>
        <v>99216</v>
      </c>
      <c r="G98" s="279"/>
      <c r="H98" s="83">
        <f t="shared" ref="H98:H105" si="12">G98+F98</f>
        <v>99216</v>
      </c>
      <c r="I98" s="84">
        <f t="shared" ref="I98:I105" si="13">H98/$H$155</f>
        <v>4.2482330155642553E-2</v>
      </c>
      <c r="J98" s="255" t="str">
        <f>IFERROR(#REF!/H98,"")</f>
        <v/>
      </c>
      <c r="K98" s="256" t="s">
        <v>15</v>
      </c>
    </row>
    <row r="99" spans="1:11" ht="15" customHeight="1">
      <c r="A99" s="154">
        <f t="shared" si="9"/>
        <v>90</v>
      </c>
      <c r="B99" s="14"/>
      <c r="C99" s="14" t="s">
        <v>16</v>
      </c>
      <c r="D99" s="14"/>
      <c r="E99" s="87">
        <v>220</v>
      </c>
      <c r="F99" s="291">
        <f>(H96*0.062)</f>
        <v>64084.625999999997</v>
      </c>
      <c r="G99" s="279"/>
      <c r="H99" s="90">
        <f t="shared" si="12"/>
        <v>64084.625999999997</v>
      </c>
      <c r="I99" s="91">
        <f t="shared" si="13"/>
        <v>2.743977019465484E-2</v>
      </c>
      <c r="J99" s="257" t="str">
        <f>IFERROR(#REF!/H99,"")</f>
        <v/>
      </c>
      <c r="K99" s="165" t="s">
        <v>16</v>
      </c>
    </row>
    <row r="100" spans="1:11" ht="15" customHeight="1">
      <c r="A100" s="154">
        <f t="shared" si="9"/>
        <v>91</v>
      </c>
      <c r="B100" s="14"/>
      <c r="C100" s="14" t="s">
        <v>17</v>
      </c>
      <c r="D100" s="14"/>
      <c r="E100" s="87">
        <v>225</v>
      </c>
      <c r="F100" s="279">
        <f>H96*0.0145</f>
        <v>14987.533500000001</v>
      </c>
      <c r="G100" s="82"/>
      <c r="H100" s="90">
        <f t="shared" si="12"/>
        <v>14987.533500000001</v>
      </c>
      <c r="I100" s="91">
        <f t="shared" si="13"/>
        <v>6.4173656100402461E-3</v>
      </c>
      <c r="J100" s="257" t="str">
        <f>IFERROR(#REF!/H100,"")</f>
        <v/>
      </c>
      <c r="K100" s="165" t="s">
        <v>17</v>
      </c>
    </row>
    <row r="101" spans="1:11" ht="15" customHeight="1">
      <c r="A101" s="154">
        <f t="shared" si="9"/>
        <v>92</v>
      </c>
      <c r="B101" s="14"/>
      <c r="C101" s="14" t="s">
        <v>18</v>
      </c>
      <c r="D101" s="14"/>
      <c r="E101" s="87" t="s">
        <v>19</v>
      </c>
      <c r="F101" s="279">
        <f>884241*0.08</f>
        <v>70739.28</v>
      </c>
      <c r="G101" s="279"/>
      <c r="H101" s="90">
        <f t="shared" si="12"/>
        <v>70739.28</v>
      </c>
      <c r="I101" s="91">
        <f t="shared" si="13"/>
        <v>3.028916150552776E-2</v>
      </c>
      <c r="J101" s="257" t="str">
        <f>IFERROR(#REF!/H101,"")</f>
        <v/>
      </c>
      <c r="K101" s="165" t="s">
        <v>18</v>
      </c>
    </row>
    <row r="102" spans="1:11" ht="15" customHeight="1">
      <c r="A102" s="154">
        <f t="shared" si="9"/>
        <v>93</v>
      </c>
      <c r="B102" s="14"/>
      <c r="C102" s="14" t="s">
        <v>20</v>
      </c>
      <c r="D102" s="14"/>
      <c r="E102" s="87">
        <v>250</v>
      </c>
      <c r="F102" s="279">
        <v>7464.7185600000003</v>
      </c>
      <c r="G102" s="82"/>
      <c r="H102" s="90">
        <f t="shared" si="12"/>
        <v>7464.7185600000003</v>
      </c>
      <c r="I102" s="91">
        <f t="shared" si="13"/>
        <v>3.1962449442113437E-3</v>
      </c>
      <c r="J102" s="257" t="str">
        <f>IFERROR(#REF!/H102,"")</f>
        <v/>
      </c>
      <c r="K102" s="165" t="s">
        <v>20</v>
      </c>
    </row>
    <row r="103" spans="1:11" ht="15" customHeight="1">
      <c r="A103" s="154">
        <f t="shared" si="9"/>
        <v>94</v>
      </c>
      <c r="B103" s="14"/>
      <c r="C103" s="12" t="s">
        <v>22</v>
      </c>
      <c r="D103" s="14"/>
      <c r="E103" s="87">
        <v>270</v>
      </c>
      <c r="F103" s="279"/>
      <c r="G103" s="82"/>
      <c r="H103" s="90">
        <f t="shared" si="12"/>
        <v>0</v>
      </c>
      <c r="I103" s="91">
        <f t="shared" si="13"/>
        <v>0</v>
      </c>
      <c r="J103" s="257" t="str">
        <f>IFERROR(#REF!/H103,"")</f>
        <v/>
      </c>
      <c r="K103" s="165"/>
    </row>
    <row r="104" spans="1:11" ht="15" customHeight="1">
      <c r="A104" s="154">
        <f t="shared" si="9"/>
        <v>95</v>
      </c>
      <c r="B104" s="14"/>
      <c r="C104" s="12" t="s">
        <v>182</v>
      </c>
      <c r="D104" s="14"/>
      <c r="E104" s="87" t="s">
        <v>25</v>
      </c>
      <c r="F104" s="279">
        <v>13250</v>
      </c>
      <c r="G104" s="279"/>
      <c r="H104" s="104">
        <f t="shared" si="12"/>
        <v>13250</v>
      </c>
      <c r="I104" s="105">
        <f t="shared" si="13"/>
        <v>5.6733881083924353E-3</v>
      </c>
      <c r="J104" s="262" t="str">
        <f>IFERROR(#REF!/H104,"")</f>
        <v/>
      </c>
      <c r="K104" s="292" t="s">
        <v>231</v>
      </c>
    </row>
    <row r="105" spans="1:11" ht="15" customHeight="1">
      <c r="A105" s="167">
        <f t="shared" si="9"/>
        <v>96</v>
      </c>
      <c r="B105" s="15"/>
      <c r="C105" s="15"/>
      <c r="D105" s="16" t="s">
        <v>26</v>
      </c>
      <c r="E105" s="196" t="s">
        <v>27</v>
      </c>
      <c r="F105" s="197">
        <f>SUM(F98:F104)-G105</f>
        <v>269742.15805999999</v>
      </c>
      <c r="G105" s="197">
        <f>SUM(G98:G104)</f>
        <v>0</v>
      </c>
      <c r="H105" s="110">
        <f t="shared" si="12"/>
        <v>269742.15805999999</v>
      </c>
      <c r="I105" s="111">
        <f t="shared" si="13"/>
        <v>0.11549826051846918</v>
      </c>
      <c r="J105" s="264" t="str">
        <f>IFERROR(#REF!/H105,"")</f>
        <v/>
      </c>
      <c r="K105" s="265"/>
    </row>
    <row r="106" spans="1:11" ht="17.25" customHeight="1">
      <c r="A106" s="186">
        <f t="shared" si="9"/>
        <v>97</v>
      </c>
      <c r="B106" s="6" t="s">
        <v>28</v>
      </c>
      <c r="C106" s="18"/>
      <c r="D106" s="6"/>
      <c r="E106" s="132"/>
      <c r="F106" s="198"/>
      <c r="G106" s="198"/>
      <c r="H106" s="199"/>
      <c r="I106" s="200"/>
      <c r="J106" s="290"/>
      <c r="K106" s="278"/>
    </row>
    <row r="107" spans="1:11" ht="17.25" customHeight="1">
      <c r="A107" s="154">
        <f t="shared" si="9"/>
        <v>98</v>
      </c>
      <c r="B107" s="20"/>
      <c r="C107" s="20" t="s">
        <v>29</v>
      </c>
      <c r="D107" s="20"/>
      <c r="E107" s="81">
        <v>332</v>
      </c>
      <c r="F107" s="82">
        <v>0</v>
      </c>
      <c r="G107" s="82"/>
      <c r="H107" s="83">
        <f>G107+F107</f>
        <v>0</v>
      </c>
      <c r="I107" s="84">
        <f t="shared" ref="I107:I111" si="14">H107/$H$155</f>
        <v>0</v>
      </c>
      <c r="J107" s="255" t="str">
        <f>IFERROR(#REF!/H107,"")</f>
        <v/>
      </c>
      <c r="K107" s="256"/>
    </row>
    <row r="108" spans="1:11" ht="15" customHeight="1">
      <c r="A108" s="154">
        <f t="shared" si="9"/>
        <v>99</v>
      </c>
      <c r="B108" s="14"/>
      <c r="C108" s="14" t="s">
        <v>183</v>
      </c>
      <c r="D108" s="14"/>
      <c r="E108" s="87">
        <v>333</v>
      </c>
      <c r="F108" s="82">
        <v>0</v>
      </c>
      <c r="G108" s="82"/>
      <c r="H108" s="90">
        <f>G108+F108</f>
        <v>0</v>
      </c>
      <c r="I108" s="91">
        <f t="shared" si="14"/>
        <v>0</v>
      </c>
      <c r="J108" s="257" t="str">
        <f>IFERROR(#REF!/H108,"")</f>
        <v/>
      </c>
      <c r="K108" s="165"/>
    </row>
    <row r="109" spans="1:11" ht="15" customHeight="1">
      <c r="A109" s="154">
        <f t="shared" si="9"/>
        <v>100</v>
      </c>
      <c r="B109" s="14"/>
      <c r="C109" s="14" t="s">
        <v>184</v>
      </c>
      <c r="D109" s="14"/>
      <c r="E109" s="87" t="s">
        <v>31</v>
      </c>
      <c r="F109" s="82">
        <v>3500</v>
      </c>
      <c r="G109" s="279">
        <v>3150</v>
      </c>
      <c r="H109" s="90">
        <f>G109+F109</f>
        <v>6650</v>
      </c>
      <c r="I109" s="91">
        <f t="shared" si="14"/>
        <v>2.8473985600611092E-3</v>
      </c>
      <c r="J109" s="257" t="str">
        <f>IFERROR(#REF!/H109,"")</f>
        <v/>
      </c>
      <c r="K109" s="165" t="s">
        <v>242</v>
      </c>
    </row>
    <row r="110" spans="1:11" ht="15" customHeight="1">
      <c r="A110" s="154">
        <f t="shared" si="9"/>
        <v>101</v>
      </c>
      <c r="B110" s="14"/>
      <c r="C110" s="12" t="s">
        <v>186</v>
      </c>
      <c r="D110" s="14"/>
      <c r="E110" s="87" t="s">
        <v>31</v>
      </c>
      <c r="F110" s="82"/>
      <c r="G110" s="279">
        <v>111579</v>
      </c>
      <c r="H110" s="104">
        <f>G110+F110</f>
        <v>111579</v>
      </c>
      <c r="I110" s="105">
        <f t="shared" si="14"/>
        <v>4.777592239594864E-2</v>
      </c>
      <c r="J110" s="262" t="str">
        <f>IFERROR(#REF!/H110,"")</f>
        <v/>
      </c>
      <c r="K110" s="165" t="s">
        <v>232</v>
      </c>
    </row>
    <row r="111" spans="1:11" ht="15" customHeight="1">
      <c r="A111" s="167">
        <f t="shared" si="9"/>
        <v>102</v>
      </c>
      <c r="B111" s="15"/>
      <c r="C111" s="15"/>
      <c r="D111" s="16" t="s">
        <v>33</v>
      </c>
      <c r="E111" s="196" t="s">
        <v>34</v>
      </c>
      <c r="F111" s="197">
        <f>SUM(F107:F110)</f>
        <v>3500</v>
      </c>
      <c r="G111" s="197">
        <f>SUM(G107:G110)</f>
        <v>114729</v>
      </c>
      <c r="H111" s="110">
        <f>G111+F111</f>
        <v>118229</v>
      </c>
      <c r="I111" s="111">
        <f t="shared" si="14"/>
        <v>5.062332095600975E-2</v>
      </c>
      <c r="J111" s="264" t="str">
        <f>IFERROR(#REF!/H111,"")</f>
        <v/>
      </c>
      <c r="K111" s="265"/>
    </row>
    <row r="112" spans="1:11" ht="17.25" customHeight="1">
      <c r="A112" s="186">
        <f t="shared" si="9"/>
        <v>103</v>
      </c>
      <c r="B112" s="6" t="s">
        <v>35</v>
      </c>
      <c r="C112" s="6"/>
      <c r="D112" s="6"/>
      <c r="E112" s="132"/>
      <c r="F112" s="198"/>
      <c r="G112" s="198"/>
      <c r="H112" s="199"/>
      <c r="I112" s="200"/>
      <c r="J112" s="290"/>
      <c r="K112" s="278"/>
    </row>
    <row r="113" spans="1:11" ht="17.25" customHeight="1">
      <c r="A113" s="154">
        <f t="shared" si="9"/>
        <v>104</v>
      </c>
      <c r="B113" s="26"/>
      <c r="C113" s="20" t="s">
        <v>36</v>
      </c>
      <c r="D113" s="20"/>
      <c r="E113" s="81">
        <v>411</v>
      </c>
      <c r="F113" s="279">
        <v>5500</v>
      </c>
      <c r="G113" s="82">
        <v>0</v>
      </c>
      <c r="H113" s="83">
        <f t="shared" ref="H113:H118" si="15">G113+F113</f>
        <v>5500</v>
      </c>
      <c r="I113" s="84">
        <f t="shared" ref="I113:I118" si="16">H113/$H$155</f>
        <v>2.3549912902761051E-3</v>
      </c>
      <c r="J113" s="255" t="str">
        <f>IFERROR(#REF!/H113,"")</f>
        <v/>
      </c>
      <c r="K113" s="256" t="s">
        <v>188</v>
      </c>
    </row>
    <row r="114" spans="1:11" ht="28.5">
      <c r="A114" s="154">
        <f t="shared" si="9"/>
        <v>105</v>
      </c>
      <c r="B114" s="27"/>
      <c r="C114" s="28" t="s">
        <v>37</v>
      </c>
      <c r="D114" s="14"/>
      <c r="E114" s="87">
        <v>441</v>
      </c>
      <c r="F114" s="279">
        <f>127416+2500</f>
        <v>129916</v>
      </c>
      <c r="G114" s="82">
        <v>0</v>
      </c>
      <c r="H114" s="90">
        <f t="shared" si="15"/>
        <v>129916</v>
      </c>
      <c r="I114" s="91">
        <f t="shared" si="16"/>
        <v>5.5627463357729175E-2</v>
      </c>
      <c r="J114" s="257" t="str">
        <f>IFERROR(#REF!/H114,"")</f>
        <v/>
      </c>
      <c r="K114" s="165" t="s">
        <v>257</v>
      </c>
    </row>
    <row r="115" spans="1:11" ht="15" customHeight="1">
      <c r="A115" s="154">
        <f t="shared" si="9"/>
        <v>106</v>
      </c>
      <c r="B115" s="27"/>
      <c r="C115" s="14" t="s">
        <v>38</v>
      </c>
      <c r="D115" s="14"/>
      <c r="E115" s="87">
        <v>442</v>
      </c>
      <c r="F115" s="279">
        <f>2500+(195*12*3)</f>
        <v>9520</v>
      </c>
      <c r="G115" s="82">
        <v>0</v>
      </c>
      <c r="H115" s="90">
        <f t="shared" si="15"/>
        <v>9520</v>
      </c>
      <c r="I115" s="91">
        <f t="shared" si="16"/>
        <v>4.0762758333506401E-3</v>
      </c>
      <c r="J115" s="257" t="str">
        <f>IFERROR(#REF!/H115,"")</f>
        <v/>
      </c>
      <c r="K115" s="165" t="s">
        <v>233</v>
      </c>
    </row>
    <row r="116" spans="1:11" ht="28.5">
      <c r="A116" s="154">
        <f t="shared" si="9"/>
        <v>107</v>
      </c>
      <c r="B116" s="27"/>
      <c r="C116" s="14" t="s">
        <v>39</v>
      </c>
      <c r="D116" s="14"/>
      <c r="E116" s="87">
        <v>430</v>
      </c>
      <c r="F116" s="279">
        <v>15000</v>
      </c>
      <c r="G116" s="82">
        <v>0</v>
      </c>
      <c r="H116" s="90">
        <f t="shared" si="15"/>
        <v>15000</v>
      </c>
      <c r="I116" s="91">
        <f t="shared" si="16"/>
        <v>6.4227035189348318E-3</v>
      </c>
      <c r="J116" s="257" t="str">
        <f>IFERROR(#REF!/H116,"")</f>
        <v/>
      </c>
      <c r="K116" s="165" t="s">
        <v>234</v>
      </c>
    </row>
    <row r="117" spans="1:11" ht="15" customHeight="1">
      <c r="A117" s="154">
        <f t="shared" si="9"/>
        <v>108</v>
      </c>
      <c r="B117" s="14"/>
      <c r="C117" s="12" t="s">
        <v>192</v>
      </c>
      <c r="D117" s="14"/>
      <c r="E117" s="205" t="s">
        <v>41</v>
      </c>
      <c r="F117" s="279">
        <v>43500</v>
      </c>
      <c r="G117" s="82">
        <v>0</v>
      </c>
      <c r="H117" s="104">
        <f t="shared" si="15"/>
        <v>43500</v>
      </c>
      <c r="I117" s="105">
        <f t="shared" si="16"/>
        <v>1.8625840204911013E-2</v>
      </c>
      <c r="J117" s="262" t="str">
        <f>IFERROR(#REF!/H117,"")</f>
        <v/>
      </c>
      <c r="K117" s="165" t="s">
        <v>235</v>
      </c>
    </row>
    <row r="118" spans="1:11" ht="15" customHeight="1" thickBot="1">
      <c r="A118" s="174">
        <f t="shared" si="9"/>
        <v>109</v>
      </c>
      <c r="B118" s="30"/>
      <c r="C118" s="30" t="s">
        <v>42</v>
      </c>
      <c r="D118" s="31"/>
      <c r="E118" s="206">
        <v>400</v>
      </c>
      <c r="F118" s="207">
        <f>SUM(F113:F117)</f>
        <v>203436</v>
      </c>
      <c r="G118" s="207">
        <f>SUM(G113:G117)</f>
        <v>0</v>
      </c>
      <c r="H118" s="177">
        <f t="shared" si="15"/>
        <v>203436</v>
      </c>
      <c r="I118" s="178">
        <f t="shared" si="16"/>
        <v>8.7107274205201771E-2</v>
      </c>
      <c r="J118" s="284" t="str">
        <f>IFERROR(#REF!/H118,"")</f>
        <v/>
      </c>
      <c r="K118" s="285"/>
    </row>
    <row r="119" spans="1:11" ht="17.25" customHeight="1" thickTop="1">
      <c r="A119" s="208">
        <f t="shared" si="9"/>
        <v>110</v>
      </c>
      <c r="B119" s="33" t="s">
        <v>43</v>
      </c>
      <c r="C119" s="33"/>
      <c r="D119" s="33"/>
      <c r="E119" s="209"/>
      <c r="F119" s="210"/>
      <c r="G119" s="210"/>
      <c r="H119" s="211"/>
      <c r="I119" s="212"/>
      <c r="J119" s="293"/>
      <c r="K119" s="283"/>
    </row>
    <row r="120" spans="1:11" ht="17.25" customHeight="1">
      <c r="A120" s="154">
        <f t="shared" si="9"/>
        <v>111</v>
      </c>
      <c r="B120" s="26"/>
      <c r="C120" s="10" t="s">
        <v>44</v>
      </c>
      <c r="D120" s="20"/>
      <c r="E120" s="81" t="s">
        <v>45</v>
      </c>
      <c r="F120" s="279">
        <v>8500</v>
      </c>
      <c r="G120" s="82">
        <v>0</v>
      </c>
      <c r="H120" s="83">
        <f t="shared" ref="H120:H129" si="17">G120+F120</f>
        <v>8500</v>
      </c>
      <c r="I120" s="84">
        <f t="shared" ref="I120:I129" si="18">H120/$H$155</f>
        <v>3.6395319940630715E-3</v>
      </c>
      <c r="J120" s="255" t="str">
        <f>IFERROR(#REF!/H120,"")</f>
        <v/>
      </c>
      <c r="K120" s="256" t="s">
        <v>236</v>
      </c>
    </row>
    <row r="121" spans="1:11" ht="15" customHeight="1">
      <c r="A121" s="154">
        <f t="shared" si="9"/>
        <v>112</v>
      </c>
      <c r="B121" s="26"/>
      <c r="C121" s="10" t="s">
        <v>194</v>
      </c>
      <c r="D121" s="20"/>
      <c r="E121" s="81">
        <v>522</v>
      </c>
      <c r="F121" s="279">
        <v>0</v>
      </c>
      <c r="G121" s="82">
        <v>0</v>
      </c>
      <c r="H121" s="83">
        <f t="shared" si="17"/>
        <v>0</v>
      </c>
      <c r="I121" s="84">
        <f t="shared" si="18"/>
        <v>0</v>
      </c>
      <c r="J121" s="255" t="str">
        <f>IFERROR(#REF!/H121,"")</f>
        <v/>
      </c>
      <c r="K121" s="256"/>
    </row>
    <row r="122" spans="1:11" ht="15" customHeight="1">
      <c r="A122" s="154">
        <f t="shared" si="9"/>
        <v>113</v>
      </c>
      <c r="B122" s="26"/>
      <c r="C122" s="10" t="s">
        <v>195</v>
      </c>
      <c r="D122" s="20"/>
      <c r="E122" s="81">
        <v>521</v>
      </c>
      <c r="F122" s="82">
        <v>0</v>
      </c>
      <c r="G122" s="82">
        <v>0</v>
      </c>
      <c r="H122" s="83">
        <f t="shared" si="17"/>
        <v>0</v>
      </c>
      <c r="I122" s="84">
        <f t="shared" si="18"/>
        <v>0</v>
      </c>
      <c r="J122" s="255" t="str">
        <f>IFERROR(#REF!/H122,"")</f>
        <v/>
      </c>
      <c r="K122" s="256"/>
    </row>
    <row r="123" spans="1:11" ht="15" customHeight="1">
      <c r="A123" s="154">
        <f t="shared" si="9"/>
        <v>114</v>
      </c>
      <c r="B123" s="26"/>
      <c r="C123" s="10" t="s">
        <v>196</v>
      </c>
      <c r="D123" s="20"/>
      <c r="E123" s="81">
        <v>523</v>
      </c>
      <c r="F123" s="82">
        <v>0</v>
      </c>
      <c r="G123" s="82">
        <v>0</v>
      </c>
      <c r="H123" s="83">
        <f t="shared" si="17"/>
        <v>0</v>
      </c>
      <c r="I123" s="84">
        <f t="shared" si="18"/>
        <v>0</v>
      </c>
      <c r="J123" s="255" t="str">
        <f>IFERROR(#REF!/H123,"")</f>
        <v/>
      </c>
      <c r="K123" s="256"/>
    </row>
    <row r="124" spans="1:11" ht="15" customHeight="1">
      <c r="A124" s="154">
        <f t="shared" si="9"/>
        <v>115</v>
      </c>
      <c r="B124" s="26"/>
      <c r="C124" s="10" t="s">
        <v>197</v>
      </c>
      <c r="D124" s="20"/>
      <c r="E124" s="81">
        <v>524</v>
      </c>
      <c r="F124" s="82">
        <v>0</v>
      </c>
      <c r="G124" s="82">
        <v>0</v>
      </c>
      <c r="H124" s="83">
        <f t="shared" si="17"/>
        <v>0</v>
      </c>
      <c r="I124" s="84">
        <f t="shared" si="18"/>
        <v>0</v>
      </c>
      <c r="J124" s="255" t="str">
        <f>IFERROR(#REF!/H124,"")</f>
        <v/>
      </c>
      <c r="K124" s="256"/>
    </row>
    <row r="125" spans="1:11" ht="15" customHeight="1">
      <c r="A125" s="154">
        <f t="shared" si="9"/>
        <v>116</v>
      </c>
      <c r="B125" s="27"/>
      <c r="C125" s="166" t="s">
        <v>198</v>
      </c>
      <c r="D125" s="14"/>
      <c r="E125" s="87">
        <v>525</v>
      </c>
      <c r="F125" s="82">
        <v>0</v>
      </c>
      <c r="G125" s="82">
        <v>0</v>
      </c>
      <c r="H125" s="90">
        <f t="shared" si="17"/>
        <v>0</v>
      </c>
      <c r="I125" s="91">
        <f t="shared" si="18"/>
        <v>0</v>
      </c>
      <c r="J125" s="257" t="str">
        <f>IFERROR(#REF!/H125,"")</f>
        <v/>
      </c>
      <c r="K125" s="165"/>
    </row>
    <row r="126" spans="1:11" ht="17.25" customHeight="1">
      <c r="A126" s="154">
        <f t="shared" si="9"/>
        <v>117</v>
      </c>
      <c r="B126" s="14"/>
      <c r="C126" s="12" t="s">
        <v>199</v>
      </c>
      <c r="D126" s="14"/>
      <c r="E126" s="205" t="s">
        <v>200</v>
      </c>
      <c r="F126" s="82">
        <v>0</v>
      </c>
      <c r="G126" s="82">
        <v>0</v>
      </c>
      <c r="H126" s="90">
        <f t="shared" si="17"/>
        <v>0</v>
      </c>
      <c r="I126" s="91">
        <f t="shared" si="18"/>
        <v>0</v>
      </c>
      <c r="J126" s="257" t="str">
        <f>IFERROR(#REF!/H126,"")</f>
        <v/>
      </c>
      <c r="K126" s="165"/>
    </row>
    <row r="127" spans="1:11" ht="28.5">
      <c r="A127" s="154">
        <f t="shared" si="9"/>
        <v>118</v>
      </c>
      <c r="B127" s="14"/>
      <c r="C127" s="14" t="s">
        <v>201</v>
      </c>
      <c r="D127" s="14"/>
      <c r="E127" s="87" t="s">
        <v>50</v>
      </c>
      <c r="F127" s="82">
        <v>2500</v>
      </c>
      <c r="G127" s="279">
        <v>3500</v>
      </c>
      <c r="H127" s="90">
        <f t="shared" si="17"/>
        <v>6000</v>
      </c>
      <c r="I127" s="91">
        <f t="shared" si="18"/>
        <v>2.5690814075739329E-3</v>
      </c>
      <c r="J127" s="257" t="str">
        <f>IFERROR(#REF!/H127,"")</f>
        <v/>
      </c>
      <c r="K127" s="165" t="s">
        <v>237</v>
      </c>
    </row>
    <row r="128" spans="1:11" ht="28.5">
      <c r="A128" s="154">
        <f t="shared" si="9"/>
        <v>119</v>
      </c>
      <c r="B128" s="14"/>
      <c r="C128" s="12" t="s">
        <v>202</v>
      </c>
      <c r="D128" s="14"/>
      <c r="E128" s="87" t="s">
        <v>53</v>
      </c>
      <c r="F128" s="279">
        <f>(65000+25000+1320+5000+6500)</f>
        <v>102820</v>
      </c>
      <c r="G128" s="279"/>
      <c r="H128" s="104">
        <f t="shared" si="17"/>
        <v>102820</v>
      </c>
      <c r="I128" s="105">
        <f t="shared" si="18"/>
        <v>4.4025491721125298E-2</v>
      </c>
      <c r="J128" s="262" t="str">
        <f>IFERROR(#REF!/H128,"")</f>
        <v/>
      </c>
      <c r="K128" s="165" t="s">
        <v>238</v>
      </c>
    </row>
    <row r="129" spans="1:11" ht="15" customHeight="1">
      <c r="A129" s="167">
        <f t="shared" si="9"/>
        <v>120</v>
      </c>
      <c r="B129" s="15"/>
      <c r="C129" s="15" t="s">
        <v>54</v>
      </c>
      <c r="D129" s="35"/>
      <c r="E129" s="196">
        <v>500</v>
      </c>
      <c r="F129" s="197">
        <f>SUM(F120:F128)</f>
        <v>113820</v>
      </c>
      <c r="G129" s="197">
        <f>SUM(G120:G128)</f>
        <v>3500</v>
      </c>
      <c r="H129" s="110">
        <f t="shared" si="17"/>
        <v>117320</v>
      </c>
      <c r="I129" s="111">
        <f t="shared" si="18"/>
        <v>5.0234105122762301E-2</v>
      </c>
      <c r="J129" s="264" t="str">
        <f>IFERROR(#REF!/H129,"")</f>
        <v/>
      </c>
      <c r="K129" s="265"/>
    </row>
    <row r="130" spans="1:11" ht="15" customHeight="1">
      <c r="A130" s="186">
        <f t="shared" si="9"/>
        <v>121</v>
      </c>
      <c r="B130" s="6" t="s">
        <v>55</v>
      </c>
      <c r="C130" s="6"/>
      <c r="D130" s="6"/>
      <c r="E130" s="132"/>
      <c r="F130" s="198"/>
      <c r="G130" s="198"/>
      <c r="H130" s="199"/>
      <c r="I130" s="200"/>
      <c r="J130" s="290"/>
      <c r="K130" s="278"/>
    </row>
    <row r="131" spans="1:11" ht="15" customHeight="1">
      <c r="A131" s="154">
        <f t="shared" si="9"/>
        <v>122</v>
      </c>
      <c r="B131" s="26"/>
      <c r="C131" s="36" t="s">
        <v>56</v>
      </c>
      <c r="D131" s="20"/>
      <c r="E131" s="81">
        <v>610</v>
      </c>
      <c r="F131" s="279">
        <v>25000</v>
      </c>
      <c r="G131" s="258"/>
      <c r="H131" s="83">
        <f t="shared" ref="H131:H136" si="19">G131+F131</f>
        <v>25000</v>
      </c>
      <c r="I131" s="84">
        <f t="shared" ref="I131:I136" si="20">H131/$H$155</f>
        <v>1.0704505864891387E-2</v>
      </c>
      <c r="J131" s="255" t="str">
        <f>IFERROR(#REF!/H131,"")</f>
        <v/>
      </c>
      <c r="K131" s="294"/>
    </row>
    <row r="132" spans="1:11" ht="15" customHeight="1">
      <c r="A132" s="154">
        <f t="shared" si="9"/>
        <v>123</v>
      </c>
      <c r="B132" s="27"/>
      <c r="C132" s="28" t="s">
        <v>57</v>
      </c>
      <c r="D132" s="14"/>
      <c r="E132" s="87" t="s">
        <v>58</v>
      </c>
      <c r="F132" s="279">
        <v>30000</v>
      </c>
      <c r="G132" s="82"/>
      <c r="H132" s="90">
        <f t="shared" si="19"/>
        <v>30000</v>
      </c>
      <c r="I132" s="91">
        <f t="shared" si="20"/>
        <v>1.2845407037869664E-2</v>
      </c>
      <c r="J132" s="257" t="str">
        <f>IFERROR(#REF!/H132,"")</f>
        <v/>
      </c>
      <c r="K132" s="165" t="s">
        <v>239</v>
      </c>
    </row>
    <row r="133" spans="1:11" ht="17.25" customHeight="1">
      <c r="A133" s="154">
        <f t="shared" si="9"/>
        <v>124</v>
      </c>
      <c r="B133" s="27"/>
      <c r="C133" s="28" t="s">
        <v>59</v>
      </c>
      <c r="D133" s="14"/>
      <c r="E133" s="87" t="s">
        <v>60</v>
      </c>
      <c r="F133" s="279">
        <v>13500</v>
      </c>
      <c r="G133" s="82"/>
      <c r="H133" s="90">
        <f t="shared" si="19"/>
        <v>13500</v>
      </c>
      <c r="I133" s="91">
        <f t="shared" si="20"/>
        <v>5.7804331670413493E-3</v>
      </c>
      <c r="J133" s="257" t="str">
        <f>IFERROR(#REF!/H133,"")</f>
        <v/>
      </c>
      <c r="K133" s="165"/>
    </row>
    <row r="134" spans="1:11" ht="17.25" customHeight="1">
      <c r="A134" s="154">
        <f t="shared" si="9"/>
        <v>125</v>
      </c>
      <c r="B134" s="27"/>
      <c r="C134" s="14" t="s">
        <v>61</v>
      </c>
      <c r="D134" s="14"/>
      <c r="E134" s="87" t="s">
        <v>62</v>
      </c>
      <c r="F134" s="82">
        <v>1500</v>
      </c>
      <c r="G134" s="258"/>
      <c r="H134" s="90">
        <f t="shared" si="19"/>
        <v>1500</v>
      </c>
      <c r="I134" s="91">
        <f t="shared" si="20"/>
        <v>6.4227035189348323E-4</v>
      </c>
      <c r="J134" s="257" t="str">
        <f>IFERROR(#REF!/H134,"")</f>
        <v/>
      </c>
      <c r="K134" s="295"/>
    </row>
    <row r="135" spans="1:11" ht="15" customHeight="1">
      <c r="A135" s="154">
        <f t="shared" si="9"/>
        <v>126</v>
      </c>
      <c r="B135" s="27"/>
      <c r="C135" s="12" t="s">
        <v>204</v>
      </c>
      <c r="D135" s="14"/>
      <c r="E135" s="87" t="s">
        <v>205</v>
      </c>
      <c r="F135" s="82">
        <v>3500</v>
      </c>
      <c r="G135" s="258"/>
      <c r="H135" s="104">
        <f t="shared" si="19"/>
        <v>3500</v>
      </c>
      <c r="I135" s="105">
        <f t="shared" si="20"/>
        <v>1.4986308210847943E-3</v>
      </c>
      <c r="J135" s="262" t="str">
        <f>IFERROR(#REF!/H135,"")</f>
        <v/>
      </c>
      <c r="K135" s="272"/>
    </row>
    <row r="136" spans="1:11" ht="15" customHeight="1">
      <c r="A136" s="167">
        <f t="shared" si="9"/>
        <v>127</v>
      </c>
      <c r="B136" s="15"/>
      <c r="C136" s="15" t="s">
        <v>64</v>
      </c>
      <c r="D136" s="35"/>
      <c r="E136" s="196">
        <v>600</v>
      </c>
      <c r="F136" s="197">
        <f>SUM(F131:F135)</f>
        <v>73500</v>
      </c>
      <c r="G136" s="197">
        <f>SUM(G131:G135)</f>
        <v>0</v>
      </c>
      <c r="H136" s="110">
        <f t="shared" si="19"/>
        <v>73500</v>
      </c>
      <c r="I136" s="111">
        <f t="shared" si="20"/>
        <v>3.1471247242780678E-2</v>
      </c>
      <c r="J136" s="264" t="str">
        <f>IFERROR(#REF!/H136,"")</f>
        <v/>
      </c>
      <c r="K136" s="265"/>
    </row>
    <row r="137" spans="1:11" ht="15" customHeight="1">
      <c r="A137" s="186">
        <f t="shared" si="9"/>
        <v>128</v>
      </c>
      <c r="B137" s="6" t="s">
        <v>65</v>
      </c>
      <c r="C137" s="6"/>
      <c r="D137" s="6"/>
      <c r="E137" s="132"/>
      <c r="F137" s="198"/>
      <c r="G137" s="198"/>
      <c r="H137" s="199"/>
      <c r="I137" s="200"/>
      <c r="J137" s="290"/>
      <c r="K137" s="278"/>
    </row>
    <row r="138" spans="1:11" ht="15" customHeight="1">
      <c r="A138" s="154">
        <f t="shared" si="9"/>
        <v>129</v>
      </c>
      <c r="B138" s="26"/>
      <c r="C138" s="10" t="s">
        <v>66</v>
      </c>
      <c r="D138" s="20"/>
      <c r="E138" s="81">
        <v>710</v>
      </c>
      <c r="F138" s="82">
        <v>0</v>
      </c>
      <c r="G138" s="82">
        <v>0</v>
      </c>
      <c r="H138" s="83">
        <f>G138+F138</f>
        <v>0</v>
      </c>
      <c r="I138" s="84">
        <f t="shared" ref="I138:I142" si="21">H138/$H$155</f>
        <v>0</v>
      </c>
      <c r="J138" s="255" t="str">
        <f>IFERROR(#REF!/H138,"")</f>
        <v/>
      </c>
      <c r="K138" s="256"/>
    </row>
    <row r="139" spans="1:11" ht="17.25" customHeight="1">
      <c r="A139" s="154">
        <f t="shared" si="9"/>
        <v>130</v>
      </c>
      <c r="B139" s="27"/>
      <c r="C139" s="12" t="s">
        <v>67</v>
      </c>
      <c r="D139" s="14"/>
      <c r="E139" s="87">
        <v>720</v>
      </c>
      <c r="F139" s="82">
        <v>0</v>
      </c>
      <c r="G139" s="82">
        <v>0</v>
      </c>
      <c r="H139" s="90">
        <f>G139+F139</f>
        <v>0</v>
      </c>
      <c r="I139" s="91">
        <f t="shared" si="21"/>
        <v>0</v>
      </c>
      <c r="J139" s="257" t="str">
        <f>IFERROR(#REF!/H139,"")</f>
        <v/>
      </c>
      <c r="K139" s="165"/>
    </row>
    <row r="140" spans="1:11" ht="17.25" customHeight="1">
      <c r="A140" s="154">
        <f t="shared" si="9"/>
        <v>131</v>
      </c>
      <c r="B140" s="27"/>
      <c r="C140" s="28" t="s">
        <v>68</v>
      </c>
      <c r="D140" s="14"/>
      <c r="E140" s="87" t="s">
        <v>69</v>
      </c>
      <c r="F140" s="82">
        <v>0</v>
      </c>
      <c r="G140" s="258"/>
      <c r="H140" s="90">
        <f>G140+F140</f>
        <v>0</v>
      </c>
      <c r="I140" s="91">
        <f t="shared" si="21"/>
        <v>0</v>
      </c>
      <c r="J140" s="257" t="str">
        <f>IFERROR(#REF!/H140,"")</f>
        <v/>
      </c>
      <c r="K140" s="272"/>
    </row>
    <row r="141" spans="1:11" ht="14.25" customHeight="1">
      <c r="A141" s="154">
        <f t="shared" ref="A141:A155" si="22">A140+1</f>
        <v>132</v>
      </c>
      <c r="B141" s="14"/>
      <c r="C141" s="28" t="s">
        <v>206</v>
      </c>
      <c r="D141" s="14"/>
      <c r="E141" s="87" t="s">
        <v>71</v>
      </c>
      <c r="F141" s="82">
        <v>0</v>
      </c>
      <c r="G141" s="82">
        <v>0</v>
      </c>
      <c r="H141" s="104">
        <f>G141+F141</f>
        <v>0</v>
      </c>
      <c r="I141" s="105">
        <f t="shared" si="21"/>
        <v>0</v>
      </c>
      <c r="J141" s="262" t="str">
        <f>IFERROR(#REF!/H141,"")</f>
        <v/>
      </c>
      <c r="K141" s="165"/>
    </row>
    <row r="142" spans="1:11" ht="15" customHeight="1">
      <c r="A142" s="167">
        <f t="shared" si="22"/>
        <v>133</v>
      </c>
      <c r="B142" s="15"/>
      <c r="C142" s="15" t="s">
        <v>72</v>
      </c>
      <c r="D142" s="35"/>
      <c r="E142" s="196">
        <v>700</v>
      </c>
      <c r="F142" s="197">
        <f>SUM(F138:F141)</f>
        <v>0</v>
      </c>
      <c r="G142" s="197">
        <f>SUM(G138:G141)</f>
        <v>0</v>
      </c>
      <c r="H142" s="110">
        <f>G142+F142</f>
        <v>0</v>
      </c>
      <c r="I142" s="111">
        <f t="shared" si="21"/>
        <v>0</v>
      </c>
      <c r="J142" s="264" t="str">
        <f>IFERROR(#REF!/H142,"")</f>
        <v/>
      </c>
      <c r="K142" s="265"/>
    </row>
    <row r="143" spans="1:11" ht="15" customHeight="1">
      <c r="A143" s="186">
        <f t="shared" si="22"/>
        <v>134</v>
      </c>
      <c r="B143" s="6" t="s">
        <v>73</v>
      </c>
      <c r="C143" s="6"/>
      <c r="D143" s="6"/>
      <c r="E143" s="132"/>
      <c r="F143" s="198"/>
      <c r="G143" s="198"/>
      <c r="H143" s="199"/>
      <c r="I143" s="200"/>
      <c r="J143" s="290"/>
      <c r="K143" s="278"/>
    </row>
    <row r="144" spans="1:11" ht="15" customHeight="1">
      <c r="A144" s="154">
        <f t="shared" si="22"/>
        <v>135</v>
      </c>
      <c r="B144" s="26"/>
      <c r="C144" s="36" t="s">
        <v>207</v>
      </c>
      <c r="D144" s="20"/>
      <c r="E144" s="81">
        <v>810</v>
      </c>
      <c r="F144" s="279">
        <v>1575</v>
      </c>
      <c r="G144" s="82">
        <v>0</v>
      </c>
      <c r="H144" s="83">
        <f>G144+F144</f>
        <v>1575</v>
      </c>
      <c r="I144" s="84">
        <f t="shared" ref="I144:I149" si="23">H144/$H$155</f>
        <v>6.7438386948815733E-4</v>
      </c>
      <c r="J144" s="255" t="str">
        <f>IFERROR(#REF!/H144,"")</f>
        <v/>
      </c>
      <c r="K144" s="289" t="s">
        <v>240</v>
      </c>
    </row>
    <row r="145" spans="1:11" ht="15" customHeight="1">
      <c r="A145" s="154">
        <f t="shared" si="22"/>
        <v>136</v>
      </c>
      <c r="B145" s="26"/>
      <c r="C145" s="36" t="s">
        <v>208</v>
      </c>
      <c r="D145" s="20"/>
      <c r="E145" s="81">
        <v>810</v>
      </c>
      <c r="F145" s="258">
        <f>F84*0.0025</f>
        <v>5077.9549999999999</v>
      </c>
      <c r="G145" s="82">
        <v>0</v>
      </c>
      <c r="H145" s="83">
        <f>G145+F145</f>
        <v>5077.9549999999999</v>
      </c>
      <c r="I145" s="84">
        <f t="shared" si="23"/>
        <v>2.1742799631661817E-3</v>
      </c>
      <c r="J145" s="255" t="str">
        <f>IFERROR(#REF!/H145,"")</f>
        <v/>
      </c>
      <c r="K145" s="256" t="s">
        <v>241</v>
      </c>
    </row>
    <row r="146" spans="1:11" ht="17.25" customHeight="1">
      <c r="A146" s="154">
        <f t="shared" si="22"/>
        <v>137</v>
      </c>
      <c r="B146" s="26"/>
      <c r="C146" s="10" t="s">
        <v>75</v>
      </c>
      <c r="D146" s="20"/>
      <c r="E146" s="81">
        <v>830</v>
      </c>
      <c r="F146" s="82">
        <v>0</v>
      </c>
      <c r="G146" s="82">
        <v>0</v>
      </c>
      <c r="H146" s="83">
        <f t="shared" ref="H146:H149" si="24">G146+F146</f>
        <v>0</v>
      </c>
      <c r="I146" s="84">
        <f t="shared" si="23"/>
        <v>0</v>
      </c>
      <c r="J146" s="255" t="str">
        <f>IFERROR(#REF!/H146,"")</f>
        <v/>
      </c>
      <c r="K146" s="256"/>
    </row>
    <row r="147" spans="1:11" ht="17.25" customHeight="1">
      <c r="A147" s="154">
        <f t="shared" si="22"/>
        <v>138</v>
      </c>
      <c r="B147" s="26"/>
      <c r="C147" s="10" t="s">
        <v>76</v>
      </c>
      <c r="D147" s="20"/>
      <c r="E147" s="81">
        <v>831</v>
      </c>
      <c r="F147" s="82">
        <v>0</v>
      </c>
      <c r="G147" s="82">
        <v>0</v>
      </c>
      <c r="H147" s="83">
        <f t="shared" si="24"/>
        <v>0</v>
      </c>
      <c r="I147" s="84">
        <f t="shared" si="23"/>
        <v>0</v>
      </c>
      <c r="J147" s="255" t="str">
        <f>IFERROR(#REF!/H147,"")</f>
        <v/>
      </c>
      <c r="K147" s="256"/>
    </row>
    <row r="148" spans="1:11" ht="15" customHeight="1">
      <c r="A148" s="154">
        <f t="shared" si="22"/>
        <v>139</v>
      </c>
      <c r="B148" s="27"/>
      <c r="C148" s="12" t="s">
        <v>209</v>
      </c>
      <c r="D148" s="14"/>
      <c r="E148" s="87" t="s">
        <v>78</v>
      </c>
      <c r="F148" s="82">
        <v>0</v>
      </c>
      <c r="G148" s="82">
        <v>0</v>
      </c>
      <c r="H148" s="104">
        <f t="shared" si="24"/>
        <v>0</v>
      </c>
      <c r="I148" s="105">
        <f t="shared" si="23"/>
        <v>0</v>
      </c>
      <c r="J148" s="262" t="str">
        <f>IFERROR(#REF!/H148,"")</f>
        <v/>
      </c>
      <c r="K148" s="165"/>
    </row>
    <row r="149" spans="1:11" ht="15" customHeight="1">
      <c r="A149" s="214">
        <f t="shared" si="22"/>
        <v>140</v>
      </c>
      <c r="B149" s="15"/>
      <c r="C149" s="15" t="s">
        <v>79</v>
      </c>
      <c r="D149" s="35"/>
      <c r="E149" s="196">
        <v>800</v>
      </c>
      <c r="F149" s="197">
        <f>SUM(F144:F148)</f>
        <v>6652.9549999999999</v>
      </c>
      <c r="G149" s="197">
        <f>SUM(G144:G148)</f>
        <v>0</v>
      </c>
      <c r="H149" s="110">
        <f t="shared" si="24"/>
        <v>6652.9549999999999</v>
      </c>
      <c r="I149" s="111">
        <f t="shared" si="23"/>
        <v>2.8486638326543391E-3</v>
      </c>
      <c r="J149" s="264" t="str">
        <f>IFERROR(#REF!/H149,"")</f>
        <v/>
      </c>
      <c r="K149" s="265"/>
    </row>
    <row r="150" spans="1:11" ht="15" customHeight="1">
      <c r="A150" s="215">
        <f t="shared" si="22"/>
        <v>141</v>
      </c>
      <c r="B150" s="6" t="s">
        <v>80</v>
      </c>
      <c r="C150" s="6"/>
      <c r="D150" s="6"/>
      <c r="E150" s="132"/>
      <c r="F150" s="198"/>
      <c r="G150" s="198"/>
      <c r="H150" s="199"/>
      <c r="I150" s="200"/>
      <c r="J150" s="290"/>
      <c r="K150" s="278"/>
    </row>
    <row r="151" spans="1:11">
      <c r="A151" s="154">
        <f t="shared" si="22"/>
        <v>142</v>
      </c>
      <c r="B151" s="27"/>
      <c r="C151" s="14" t="s">
        <v>211</v>
      </c>
      <c r="D151" s="14"/>
      <c r="E151" s="87">
        <v>933</v>
      </c>
      <c r="F151" s="82">
        <v>512962</v>
      </c>
      <c r="G151" s="258"/>
      <c r="H151" s="90">
        <f>G151+F151</f>
        <v>512962</v>
      </c>
      <c r="I151" s="91">
        <f t="shared" ref="I151:I155" si="25">H151/$H$155</f>
        <v>0.21964018949865663</v>
      </c>
      <c r="J151" s="257" t="str">
        <f>IFERROR(#REF!/H151,"")</f>
        <v/>
      </c>
      <c r="K151" s="165"/>
    </row>
    <row r="152" spans="1:11" ht="17.25" customHeight="1">
      <c r="A152" s="154">
        <f t="shared" si="22"/>
        <v>143</v>
      </c>
      <c r="B152" s="27"/>
      <c r="C152" s="14" t="s">
        <v>212</v>
      </c>
      <c r="D152" s="14"/>
      <c r="E152" s="87" t="s">
        <v>82</v>
      </c>
      <c r="F152" s="82">
        <v>0</v>
      </c>
      <c r="G152" s="82">
        <v>0</v>
      </c>
      <c r="H152" s="90">
        <f>G152+F152</f>
        <v>0</v>
      </c>
      <c r="I152" s="91">
        <f t="shared" si="25"/>
        <v>0</v>
      </c>
      <c r="J152" s="257" t="str">
        <f>IFERROR(#REF!/H152,"")</f>
        <v/>
      </c>
      <c r="K152" s="165"/>
    </row>
    <row r="153" spans="1:11" ht="15" hidden="1" customHeight="1">
      <c r="A153" s="154">
        <f t="shared" si="22"/>
        <v>144</v>
      </c>
      <c r="B153" s="98"/>
      <c r="C153" s="216"/>
      <c r="D153" s="98"/>
      <c r="E153" s="99"/>
      <c r="F153" s="195"/>
      <c r="G153" s="195"/>
      <c r="H153" s="104">
        <f>G153+F153</f>
        <v>0</v>
      </c>
      <c r="I153" s="105">
        <f t="shared" si="25"/>
        <v>0</v>
      </c>
      <c r="J153" s="262" t="str">
        <f>IFERROR(#REF!/H153,"")</f>
        <v/>
      </c>
      <c r="K153" s="165"/>
    </row>
    <row r="154" spans="1:11" ht="21" customHeight="1">
      <c r="A154" s="217">
        <f t="shared" si="22"/>
        <v>145</v>
      </c>
      <c r="B154" s="15"/>
      <c r="C154" s="15" t="s">
        <v>84</v>
      </c>
      <c r="D154" s="15"/>
      <c r="E154" s="196">
        <v>900</v>
      </c>
      <c r="F154" s="197">
        <f>SUM(F151:F153)</f>
        <v>512962</v>
      </c>
      <c r="G154" s="197">
        <f>SUM(G151:G153)</f>
        <v>0</v>
      </c>
      <c r="H154" s="110">
        <f>G154+F154</f>
        <v>512962</v>
      </c>
      <c r="I154" s="111">
        <f t="shared" si="25"/>
        <v>0.21964018949865663</v>
      </c>
      <c r="J154" s="264" t="str">
        <f>IFERROR(#REF!/H154,"")</f>
        <v/>
      </c>
      <c r="K154" s="296"/>
    </row>
    <row r="155" spans="1:11" ht="18.75" customHeight="1" thickBot="1">
      <c r="A155" s="217">
        <f t="shared" si="22"/>
        <v>146</v>
      </c>
      <c r="B155" s="39"/>
      <c r="C155" s="39"/>
      <c r="D155" s="40" t="s">
        <v>85</v>
      </c>
      <c r="E155" s="219" t="s">
        <v>86</v>
      </c>
      <c r="F155" s="220">
        <f>F96+F105+F111+F118+F129+F136+F142+F149+F154</f>
        <v>2030444.1130600001</v>
      </c>
      <c r="G155" s="220">
        <f t="shared" ref="G155" si="26">G96+G105+G111+G118+G129+G136+G142+G149+G154</f>
        <v>305021</v>
      </c>
      <c r="H155" s="221">
        <f>G155+F155</f>
        <v>2335465.1130600004</v>
      </c>
      <c r="I155" s="222">
        <f t="shared" si="25"/>
        <v>1</v>
      </c>
      <c r="J155" s="297" t="str">
        <f>IFERROR(#REF!/H155,"")</f>
        <v/>
      </c>
      <c r="K155" s="285"/>
    </row>
    <row r="156" spans="1:11" ht="18.75" hidden="1" customHeight="1">
      <c r="A156" s="223"/>
      <c r="B156" s="224"/>
      <c r="C156" s="224"/>
      <c r="D156" s="224"/>
      <c r="E156" s="166"/>
      <c r="F156" s="225"/>
      <c r="G156" s="225"/>
      <c r="H156" s="226"/>
      <c r="I156" s="226"/>
      <c r="J156" s="298"/>
      <c r="K156" s="299"/>
    </row>
    <row r="157" spans="1:11" ht="18.75" customHeight="1" thickTop="1" thickBot="1">
      <c r="A157" s="223"/>
      <c r="B157" s="226"/>
      <c r="C157" s="166"/>
      <c r="D157" s="227"/>
      <c r="E157" s="228" t="s">
        <v>213</v>
      </c>
      <c r="F157" s="229">
        <f>F84-F155</f>
        <v>737.88693999988027</v>
      </c>
      <c r="G157" s="230">
        <f>G84-G155</f>
        <v>0</v>
      </c>
      <c r="H157" s="231">
        <f>F157+G157</f>
        <v>737.88693999988027</v>
      </c>
      <c r="I157" s="226"/>
      <c r="J157" s="298"/>
      <c r="K157" s="300" t="s">
        <v>214</v>
      </c>
    </row>
    <row r="158" spans="1:11" ht="18.75" customHeight="1" thickTop="1" thickBot="1">
      <c r="A158" s="223"/>
      <c r="B158" s="226"/>
      <c r="C158" s="166"/>
      <c r="D158" s="227"/>
      <c r="E158" s="228" t="s">
        <v>215</v>
      </c>
      <c r="F158" s="301">
        <f>500821+10277</f>
        <v>511098</v>
      </c>
      <c r="G158" s="234">
        <v>0</v>
      </c>
      <c r="H158" s="235">
        <f>F158+G158</f>
        <v>511098</v>
      </c>
      <c r="I158" s="226"/>
      <c r="J158" s="298"/>
      <c r="K158" s="302">
        <f>F159/F84</f>
        <v>0.25198918016209276</v>
      </c>
    </row>
    <row r="159" spans="1:11" ht="15" customHeight="1" thickTop="1">
      <c r="A159" s="223"/>
      <c r="B159" s="226"/>
      <c r="C159" s="166"/>
      <c r="D159" s="227"/>
      <c r="E159" s="228" t="s">
        <v>216</v>
      </c>
      <c r="F159" s="237">
        <f>SUM(F157:F158)</f>
        <v>511835.88693999988</v>
      </c>
      <c r="G159" s="238">
        <f>SUM(G157:G158)</f>
        <v>0</v>
      </c>
      <c r="H159" s="239">
        <f>F159+G159</f>
        <v>511835.88693999988</v>
      </c>
      <c r="I159" s="226"/>
      <c r="J159" s="298"/>
      <c r="K159" s="299"/>
    </row>
    <row r="160" spans="1:11" ht="15" customHeight="1">
      <c r="A160" s="223"/>
      <c r="B160" s="226"/>
      <c r="C160" s="166"/>
      <c r="D160" s="227"/>
      <c r="E160" s="240"/>
      <c r="F160" s="241"/>
      <c r="G160" s="241"/>
      <c r="H160" s="226"/>
      <c r="I160" s="226"/>
      <c r="J160" s="298"/>
      <c r="K160" s="299"/>
    </row>
    <row r="161" spans="5:5" ht="15" customHeight="1"/>
    <row r="162" spans="5:5" ht="15" customHeight="1">
      <c r="E162" s="303"/>
    </row>
    <row r="163" spans="5:5" ht="15" customHeight="1"/>
    <row r="164" spans="5:5" ht="15" customHeight="1"/>
    <row r="165" spans="5:5" ht="15" customHeight="1"/>
    <row r="166" spans="5:5" ht="15" customHeight="1"/>
    <row r="167" spans="5:5" ht="15" customHeight="1"/>
    <row r="168" spans="5:5" ht="15" customHeight="1"/>
    <row r="169" spans="5:5" ht="15" customHeight="1"/>
    <row r="170" spans="5:5" ht="15" customHeight="1"/>
    <row r="171" spans="5:5" ht="15" customHeight="1"/>
    <row r="172" spans="5:5" ht="15" customHeight="1"/>
    <row r="173" spans="5:5" ht="15" customHeight="1"/>
    <row r="174" spans="5:5" ht="15" customHeight="1"/>
    <row r="175" spans="5:5" ht="15" customHeight="1"/>
    <row r="176" spans="5:5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</sheetData>
  <mergeCells count="15">
    <mergeCell ref="H5:H6"/>
    <mergeCell ref="E7:E9"/>
    <mergeCell ref="F7:F9"/>
    <mergeCell ref="G7:G9"/>
    <mergeCell ref="H7:H9"/>
    <mergeCell ref="A4:C4"/>
    <mergeCell ref="B5:D9"/>
    <mergeCell ref="E5:E6"/>
    <mergeCell ref="F5:F6"/>
    <mergeCell ref="G5:G6"/>
    <mergeCell ref="I7:I9"/>
    <mergeCell ref="J7:J9"/>
    <mergeCell ref="K7:K9"/>
    <mergeCell ref="B10:D10"/>
    <mergeCell ref="B85:D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opLeftCell="B159" workbookViewId="0">
      <selection activeCell="G1" sqref="G1"/>
    </sheetView>
  </sheetViews>
  <sheetFormatPr defaultColWidth="14" defaultRowHeight="15"/>
  <cols>
    <col min="1" max="1" width="4" customWidth="1"/>
    <col min="2" max="2" width="2.42578125" customWidth="1"/>
    <col min="3" max="3" width="3.140625" customWidth="1"/>
    <col min="4" max="4" width="35.85546875" customWidth="1"/>
    <col min="5" max="5" width="15.85546875" bestFit="1" customWidth="1"/>
    <col min="6" max="6" width="15.5703125" customWidth="1"/>
    <col min="7" max="7" width="18.140625" customWidth="1"/>
    <col min="8" max="8" width="12" bestFit="1" customWidth="1"/>
    <col min="9" max="9" width="9.42578125" bestFit="1" customWidth="1"/>
    <col min="10" max="10" width="9.42578125" customWidth="1"/>
    <col min="11" max="11" width="33.85546875" style="289" customWidth="1"/>
  </cols>
  <sheetData>
    <row r="1" spans="1:11" ht="29.25" customHeight="1" thickBot="1">
      <c r="A1" s="54"/>
      <c r="B1" s="54"/>
      <c r="C1" s="54"/>
      <c r="D1" s="54"/>
      <c r="E1" s="54"/>
      <c r="F1" s="54"/>
      <c r="G1" s="54"/>
      <c r="H1" s="54"/>
      <c r="I1" s="54"/>
      <c r="J1" s="54"/>
      <c r="K1" s="243" t="s">
        <v>89</v>
      </c>
    </row>
    <row r="2" spans="1:11" ht="19.899999999999999" customHeight="1" thickTop="1" thickBot="1">
      <c r="A2" s="56"/>
      <c r="B2" s="57"/>
      <c r="C2" s="57"/>
      <c r="D2" s="57"/>
      <c r="E2" s="57"/>
      <c r="F2" s="57"/>
      <c r="G2" s="57"/>
      <c r="H2" s="54"/>
      <c r="I2" s="54"/>
      <c r="J2" s="58"/>
      <c r="K2" s="245"/>
    </row>
    <row r="3" spans="1:11" ht="19.899999999999999" customHeight="1" thickTop="1" thickBot="1">
      <c r="A3" s="56"/>
      <c r="B3" s="57"/>
      <c r="C3" s="57"/>
      <c r="D3" s="57"/>
      <c r="E3" s="57"/>
      <c r="F3" s="57"/>
      <c r="G3" s="57"/>
      <c r="H3" s="54"/>
      <c r="I3" s="54"/>
      <c r="J3" s="60" t="s">
        <v>262</v>
      </c>
      <c r="K3" s="245">
        <v>120</v>
      </c>
    </row>
    <row r="4" spans="1:11" ht="30" customHeight="1" thickTop="1" thickBot="1">
      <c r="A4" s="338" t="s">
        <v>92</v>
      </c>
      <c r="B4" s="339"/>
      <c r="C4" s="340"/>
      <c r="D4" s="61" t="s">
        <v>243</v>
      </c>
      <c r="E4" s="54"/>
      <c r="F4" s="54"/>
      <c r="G4" s="304"/>
      <c r="H4" s="54"/>
      <c r="I4" s="54"/>
      <c r="J4" s="63"/>
      <c r="K4" s="248"/>
    </row>
    <row r="5" spans="1:11" ht="22.5" customHeight="1" thickTop="1">
      <c r="A5" s="65"/>
      <c r="B5" s="341" t="s">
        <v>94</v>
      </c>
      <c r="C5" s="341"/>
      <c r="D5" s="342"/>
      <c r="E5" s="347" t="s">
        <v>95</v>
      </c>
      <c r="F5" s="349" t="s">
        <v>96</v>
      </c>
      <c r="G5" s="364" t="s">
        <v>244</v>
      </c>
      <c r="H5" s="353"/>
      <c r="I5" s="54"/>
      <c r="J5" s="66"/>
      <c r="K5" s="248"/>
    </row>
    <row r="6" spans="1:11" ht="10.15" customHeight="1" thickBot="1">
      <c r="A6" s="67"/>
      <c r="B6" s="343"/>
      <c r="C6" s="343"/>
      <c r="D6" s="344"/>
      <c r="E6" s="348"/>
      <c r="F6" s="350"/>
      <c r="G6" s="365"/>
      <c r="H6" s="354"/>
      <c r="I6" s="54"/>
      <c r="J6" s="54"/>
      <c r="K6" s="250"/>
    </row>
    <row r="7" spans="1:11" ht="16.5" customHeight="1" thickTop="1">
      <c r="A7" s="67"/>
      <c r="B7" s="343"/>
      <c r="C7" s="343"/>
      <c r="D7" s="344"/>
      <c r="E7" s="355" t="s">
        <v>98</v>
      </c>
      <c r="F7" s="358"/>
      <c r="G7" s="358"/>
      <c r="H7" s="358"/>
      <c r="I7" s="328" t="s">
        <v>99</v>
      </c>
      <c r="J7" s="331" t="s">
        <v>100</v>
      </c>
      <c r="K7" s="328" t="s">
        <v>101</v>
      </c>
    </row>
    <row r="8" spans="1:11" ht="15" customHeight="1">
      <c r="A8" s="67"/>
      <c r="B8" s="343"/>
      <c r="C8" s="343"/>
      <c r="D8" s="344"/>
      <c r="E8" s="356"/>
      <c r="F8" s="359"/>
      <c r="G8" s="359"/>
      <c r="H8" s="359"/>
      <c r="I8" s="329"/>
      <c r="J8" s="332"/>
      <c r="K8" s="329"/>
    </row>
    <row r="9" spans="1:11" ht="25.5" customHeight="1" thickBot="1">
      <c r="A9" s="68"/>
      <c r="B9" s="345"/>
      <c r="C9" s="345"/>
      <c r="D9" s="346"/>
      <c r="E9" s="357"/>
      <c r="F9" s="360"/>
      <c r="G9" s="360"/>
      <c r="H9" s="360"/>
      <c r="I9" s="330"/>
      <c r="J9" s="333"/>
      <c r="K9" s="330"/>
    </row>
    <row r="10" spans="1:11" ht="25.5" customHeight="1" thickTop="1">
      <c r="A10" s="69">
        <v>1</v>
      </c>
      <c r="B10" s="334" t="s">
        <v>2</v>
      </c>
      <c r="C10" s="335"/>
      <c r="D10" s="335"/>
      <c r="E10" s="70"/>
      <c r="F10" s="71"/>
      <c r="G10" s="71"/>
      <c r="H10" s="70"/>
      <c r="I10" s="70"/>
      <c r="J10" s="70"/>
      <c r="K10" s="252"/>
    </row>
    <row r="11" spans="1:11" ht="18" customHeight="1">
      <c r="A11" s="73">
        <f>A10+1</f>
        <v>2</v>
      </c>
      <c r="B11" s="7" t="s">
        <v>102</v>
      </c>
      <c r="C11" s="7"/>
      <c r="D11" s="7"/>
      <c r="E11" s="74"/>
      <c r="F11" s="75"/>
      <c r="G11" s="75"/>
      <c r="H11" s="76"/>
      <c r="I11" s="77"/>
      <c r="J11" s="77"/>
      <c r="K11" s="254"/>
    </row>
    <row r="12" spans="1:11">
      <c r="A12" s="79">
        <f>A11+1</f>
        <v>3</v>
      </c>
      <c r="B12" s="80"/>
      <c r="C12" s="20" t="s">
        <v>103</v>
      </c>
      <c r="D12" s="20"/>
      <c r="E12" s="81" t="s">
        <v>104</v>
      </c>
      <c r="F12" s="82"/>
      <c r="G12" s="82"/>
      <c r="H12" s="83">
        <f t="shared" ref="H12:H21" si="0">G12+F12</f>
        <v>0</v>
      </c>
      <c r="I12" s="84">
        <f t="shared" ref="I12:I21" si="1">H12/$H$84</f>
        <v>0</v>
      </c>
      <c r="J12" s="84" t="str">
        <f>IFERROR(#REF!/H12,"")</f>
        <v/>
      </c>
      <c r="K12" s="256"/>
    </row>
    <row r="13" spans="1:11">
      <c r="A13" s="79">
        <f t="shared" ref="A13:A76" si="2">A12+1</f>
        <v>4</v>
      </c>
      <c r="B13" s="86"/>
      <c r="C13" s="14" t="s">
        <v>105</v>
      </c>
      <c r="D13" s="14"/>
      <c r="E13" s="87" t="s">
        <v>106</v>
      </c>
      <c r="F13" s="88"/>
      <c r="G13" s="89"/>
      <c r="H13" s="90">
        <f t="shared" si="0"/>
        <v>0</v>
      </c>
      <c r="I13" s="91">
        <f t="shared" si="1"/>
        <v>0</v>
      </c>
      <c r="J13" s="91" t="str">
        <f>IFERROR(#REF!/H13,"")</f>
        <v/>
      </c>
      <c r="K13" s="165"/>
    </row>
    <row r="14" spans="1:11">
      <c r="A14" s="79">
        <f t="shared" si="2"/>
        <v>5</v>
      </c>
      <c r="B14" s="86"/>
      <c r="C14" s="14" t="s">
        <v>107</v>
      </c>
      <c r="D14" s="14"/>
      <c r="E14" s="87">
        <v>1920</v>
      </c>
      <c r="F14" s="305"/>
      <c r="G14" s="89"/>
      <c r="H14" s="90">
        <f t="shared" si="0"/>
        <v>0</v>
      </c>
      <c r="I14" s="91">
        <f t="shared" si="1"/>
        <v>0</v>
      </c>
      <c r="J14" s="91" t="str">
        <f>IFERROR(#REF!/H14,"")</f>
        <v/>
      </c>
      <c r="K14" s="259"/>
    </row>
    <row r="15" spans="1:11">
      <c r="A15" s="79">
        <f t="shared" si="2"/>
        <v>6</v>
      </c>
      <c r="B15" s="86"/>
      <c r="C15" s="14" t="s">
        <v>108</v>
      </c>
      <c r="D15" s="14"/>
      <c r="E15" s="87">
        <v>1993</v>
      </c>
      <c r="F15" s="89"/>
      <c r="G15" s="89"/>
      <c r="H15" s="90">
        <f t="shared" si="0"/>
        <v>0</v>
      </c>
      <c r="I15" s="91">
        <f t="shared" si="1"/>
        <v>0</v>
      </c>
      <c r="J15" s="91" t="str">
        <f>IFERROR(#REF!/H15,"")</f>
        <v/>
      </c>
      <c r="K15" s="260"/>
    </row>
    <row r="16" spans="1:11">
      <c r="A16" s="79">
        <f t="shared" si="2"/>
        <v>7</v>
      </c>
      <c r="B16" s="86"/>
      <c r="C16" s="14" t="s">
        <v>109</v>
      </c>
      <c r="D16" s="14"/>
      <c r="E16" s="87">
        <v>1994</v>
      </c>
      <c r="F16" s="305">
        <v>915840</v>
      </c>
      <c r="G16" s="95"/>
      <c r="H16" s="90">
        <f t="shared" si="0"/>
        <v>915840</v>
      </c>
      <c r="I16" s="91">
        <f t="shared" si="1"/>
        <v>0.50853584388109507</v>
      </c>
      <c r="J16" s="91" t="str">
        <f>IFERROR(#REF!/H16,"")</f>
        <v/>
      </c>
      <c r="K16" s="306"/>
    </row>
    <row r="17" spans="1:11">
      <c r="A17" s="79">
        <f t="shared" si="2"/>
        <v>8</v>
      </c>
      <c r="B17" s="86"/>
      <c r="C17" s="14" t="s">
        <v>110</v>
      </c>
      <c r="D17" s="14"/>
      <c r="E17" s="87" t="s">
        <v>111</v>
      </c>
      <c r="F17" s="89"/>
      <c r="G17" s="89"/>
      <c r="H17" s="90">
        <f t="shared" si="0"/>
        <v>0</v>
      </c>
      <c r="I17" s="91">
        <f t="shared" si="1"/>
        <v>0</v>
      </c>
      <c r="J17" s="91" t="str">
        <f>IFERROR(#REF!/H17,"")</f>
        <v/>
      </c>
      <c r="K17" s="165"/>
    </row>
    <row r="18" spans="1:11">
      <c r="A18" s="79">
        <f t="shared" si="2"/>
        <v>9</v>
      </c>
      <c r="B18" s="97"/>
      <c r="C18" s="98" t="s">
        <v>245</v>
      </c>
      <c r="D18" s="98"/>
      <c r="E18" s="99"/>
      <c r="F18" s="89"/>
      <c r="G18" s="89"/>
      <c r="H18" s="90">
        <f t="shared" si="0"/>
        <v>0</v>
      </c>
      <c r="I18" s="91">
        <f t="shared" si="1"/>
        <v>0</v>
      </c>
      <c r="J18" s="91" t="str">
        <f>IFERROR(#REF!/H18,"")</f>
        <v/>
      </c>
      <c r="K18" s="165"/>
    </row>
    <row r="19" spans="1:11">
      <c r="A19" s="79">
        <f t="shared" si="2"/>
        <v>10</v>
      </c>
      <c r="B19" s="100"/>
      <c r="C19" s="98" t="s">
        <v>112</v>
      </c>
      <c r="D19" s="101"/>
      <c r="E19" s="102"/>
      <c r="F19" s="103"/>
      <c r="G19" s="103"/>
      <c r="H19" s="90">
        <f t="shared" si="0"/>
        <v>0</v>
      </c>
      <c r="I19" s="91">
        <f t="shared" si="1"/>
        <v>0</v>
      </c>
      <c r="J19" s="91" t="str">
        <f>IFERROR(#REF!/H19,"")</f>
        <v/>
      </c>
      <c r="K19" s="165"/>
    </row>
    <row r="20" spans="1:11">
      <c r="A20" s="79">
        <f t="shared" si="2"/>
        <v>11</v>
      </c>
      <c r="B20" s="97"/>
      <c r="C20" s="98" t="s">
        <v>112</v>
      </c>
      <c r="D20" s="98"/>
      <c r="E20" s="99"/>
      <c r="F20" s="89"/>
      <c r="G20" s="89"/>
      <c r="H20" s="104">
        <f t="shared" si="0"/>
        <v>0</v>
      </c>
      <c r="I20" s="105">
        <f t="shared" si="1"/>
        <v>0</v>
      </c>
      <c r="J20" s="105" t="str">
        <f>IFERROR(#REF!/H20,"")</f>
        <v/>
      </c>
      <c r="K20" s="165"/>
    </row>
    <row r="21" spans="1:11" ht="18" customHeight="1">
      <c r="A21" s="106">
        <f t="shared" si="2"/>
        <v>12</v>
      </c>
      <c r="B21" s="107" t="s">
        <v>113</v>
      </c>
      <c r="C21" s="15"/>
      <c r="D21" s="15"/>
      <c r="E21" s="108"/>
      <c r="F21" s="109">
        <f>SUM(F12:F20)</f>
        <v>915840</v>
      </c>
      <c r="G21" s="109">
        <f>SUM(G12:G20)</f>
        <v>0</v>
      </c>
      <c r="H21" s="110">
        <f t="shared" si="0"/>
        <v>915840</v>
      </c>
      <c r="I21" s="111">
        <f t="shared" si="1"/>
        <v>0.50853584388109507</v>
      </c>
      <c r="J21" s="111" t="str">
        <f>IFERROR(#REF!/H21,"")</f>
        <v/>
      </c>
      <c r="K21" s="265"/>
    </row>
    <row r="22" spans="1:11">
      <c r="A22" s="79">
        <f t="shared" si="2"/>
        <v>13</v>
      </c>
      <c r="B22" s="113"/>
      <c r="C22" s="114"/>
      <c r="D22" s="114"/>
      <c r="E22" s="115"/>
      <c r="F22" s="116"/>
      <c r="G22" s="116"/>
      <c r="H22" s="117"/>
      <c r="I22" s="117"/>
      <c r="J22" s="117"/>
      <c r="K22" s="267"/>
    </row>
    <row r="23" spans="1:11" ht="18" customHeight="1">
      <c r="A23" s="73">
        <f t="shared" si="2"/>
        <v>14</v>
      </c>
      <c r="B23" s="7" t="s">
        <v>114</v>
      </c>
      <c r="C23" s="7"/>
      <c r="D23" s="7"/>
      <c r="E23" s="119"/>
      <c r="F23" s="120"/>
      <c r="G23" s="120"/>
      <c r="H23" s="90"/>
      <c r="I23" s="90"/>
      <c r="J23" s="90"/>
      <c r="K23" s="269"/>
    </row>
    <row r="24" spans="1:11">
      <c r="A24" s="79">
        <f t="shared" si="2"/>
        <v>15</v>
      </c>
      <c r="B24" s="122"/>
      <c r="C24" s="123" t="s">
        <v>115</v>
      </c>
      <c r="D24" s="123"/>
      <c r="E24" s="124"/>
      <c r="F24" s="125"/>
      <c r="G24" s="126"/>
      <c r="H24" s="83"/>
      <c r="I24" s="83"/>
      <c r="J24" s="83"/>
      <c r="K24" s="271"/>
    </row>
    <row r="25" spans="1:11">
      <c r="A25" s="79">
        <f t="shared" si="2"/>
        <v>16</v>
      </c>
      <c r="B25" s="86"/>
      <c r="C25" s="14"/>
      <c r="D25" s="128" t="s">
        <v>116</v>
      </c>
      <c r="E25" s="87">
        <v>3110</v>
      </c>
      <c r="F25" s="305">
        <v>576928</v>
      </c>
      <c r="G25" s="129"/>
      <c r="H25" s="90">
        <f>G25+F25</f>
        <v>576928</v>
      </c>
      <c r="I25" s="91">
        <f>H25/$H$84</f>
        <v>0.32034915196828312</v>
      </c>
      <c r="J25" s="91" t="str">
        <f>IFERROR(#REF!/H25,"")</f>
        <v/>
      </c>
      <c r="K25" s="165"/>
    </row>
    <row r="26" spans="1:11">
      <c r="A26" s="79">
        <f t="shared" si="2"/>
        <v>17</v>
      </c>
      <c r="B26" s="86"/>
      <c r="C26" s="14"/>
      <c r="D26" s="14" t="s">
        <v>224</v>
      </c>
      <c r="E26" s="87">
        <v>3190</v>
      </c>
      <c r="F26" s="305">
        <v>61893</v>
      </c>
      <c r="G26" s="89"/>
      <c r="H26" s="90">
        <f>G26+F26</f>
        <v>61893</v>
      </c>
      <c r="I26" s="91">
        <f>H26/$H$84</f>
        <v>3.436714817580868E-2</v>
      </c>
      <c r="J26" s="91" t="str">
        <f>IFERROR(#REF!/H26,"")</f>
        <v/>
      </c>
      <c r="K26" s="165" t="s">
        <v>246</v>
      </c>
    </row>
    <row r="27" spans="1:11">
      <c r="A27" s="79">
        <f t="shared" si="2"/>
        <v>18</v>
      </c>
      <c r="B27" s="130"/>
      <c r="C27" s="131" t="s">
        <v>119</v>
      </c>
      <c r="D27" s="131"/>
      <c r="E27" s="132"/>
      <c r="F27" s="133"/>
      <c r="G27" s="88"/>
      <c r="H27" s="90"/>
      <c r="I27" s="91"/>
      <c r="J27" s="91"/>
      <c r="K27" s="273"/>
    </row>
    <row r="28" spans="1:11">
      <c r="A28" s="79">
        <f t="shared" si="2"/>
        <v>19</v>
      </c>
      <c r="B28" s="86"/>
      <c r="C28" s="14"/>
      <c r="D28" s="14" t="s">
        <v>120</v>
      </c>
      <c r="E28" s="135">
        <v>3220</v>
      </c>
      <c r="F28" s="136"/>
      <c r="G28" s="89"/>
      <c r="H28" s="90">
        <f t="shared" ref="H28:H38" si="3">G28+F28</f>
        <v>0</v>
      </c>
      <c r="I28" s="91">
        <f t="shared" ref="I28:I38" si="4">H28/$H$84</f>
        <v>0</v>
      </c>
      <c r="J28" s="91" t="str">
        <f>IFERROR(#REF!/H28,"")</f>
        <v/>
      </c>
      <c r="K28" s="165"/>
    </row>
    <row r="29" spans="1:11">
      <c r="A29" s="79">
        <f t="shared" si="2"/>
        <v>20</v>
      </c>
      <c r="B29" s="86"/>
      <c r="C29" s="14"/>
      <c r="D29" s="14" t="s">
        <v>121</v>
      </c>
      <c r="E29" s="135">
        <v>3230</v>
      </c>
      <c r="F29" s="137"/>
      <c r="G29" s="95"/>
      <c r="H29" s="90">
        <f t="shared" si="3"/>
        <v>0</v>
      </c>
      <c r="I29" s="91">
        <f t="shared" si="4"/>
        <v>0</v>
      </c>
      <c r="J29" s="91" t="str">
        <f>IFERROR(#REF!/H29,"")</f>
        <v/>
      </c>
      <c r="K29" s="165"/>
    </row>
    <row r="30" spans="1:11">
      <c r="A30" s="79">
        <f t="shared" si="2"/>
        <v>21</v>
      </c>
      <c r="B30" s="86"/>
      <c r="C30" s="14"/>
      <c r="D30" s="14" t="s">
        <v>122</v>
      </c>
      <c r="E30" s="135">
        <v>3290</v>
      </c>
      <c r="F30" s="137"/>
      <c r="G30" s="89"/>
      <c r="H30" s="90">
        <f t="shared" si="3"/>
        <v>0</v>
      </c>
      <c r="I30" s="91">
        <f t="shared" si="4"/>
        <v>0</v>
      </c>
      <c r="J30" s="91" t="str">
        <f>IFERROR(#REF!/H30,"")</f>
        <v/>
      </c>
      <c r="K30" s="165"/>
    </row>
    <row r="31" spans="1:11">
      <c r="A31" s="79">
        <f t="shared" si="2"/>
        <v>22</v>
      </c>
      <c r="B31" s="86"/>
      <c r="C31" s="14"/>
      <c r="D31" s="138" t="s">
        <v>123</v>
      </c>
      <c r="E31" s="135">
        <v>3240</v>
      </c>
      <c r="F31" s="139"/>
      <c r="G31" s="89"/>
      <c r="H31" s="90">
        <f t="shared" si="3"/>
        <v>0</v>
      </c>
      <c r="I31" s="91">
        <f t="shared" si="4"/>
        <v>0</v>
      </c>
      <c r="J31" s="91" t="str">
        <f>IFERROR(#REF!/H31,"")</f>
        <v/>
      </c>
      <c r="K31" s="165"/>
    </row>
    <row r="32" spans="1:11">
      <c r="A32" s="79">
        <f t="shared" si="2"/>
        <v>23</v>
      </c>
      <c r="B32" s="86"/>
      <c r="C32" s="14"/>
      <c r="D32" s="14" t="s">
        <v>124</v>
      </c>
      <c r="E32" s="135">
        <v>3290</v>
      </c>
      <c r="F32" s="139"/>
      <c r="G32" s="89"/>
      <c r="H32" s="90">
        <f t="shared" si="3"/>
        <v>0</v>
      </c>
      <c r="I32" s="91">
        <f t="shared" si="4"/>
        <v>0</v>
      </c>
      <c r="J32" s="91" t="str">
        <f>IFERROR(#REF!/H32,"")</f>
        <v/>
      </c>
      <c r="K32" s="165"/>
    </row>
    <row r="33" spans="1:11">
      <c r="A33" s="79">
        <f t="shared" si="2"/>
        <v>24</v>
      </c>
      <c r="B33" s="86"/>
      <c r="C33" s="14"/>
      <c r="D33" s="138" t="s">
        <v>125</v>
      </c>
      <c r="E33" s="135">
        <v>3290</v>
      </c>
      <c r="F33" s="140"/>
      <c r="G33" s="89"/>
      <c r="H33" s="90">
        <f t="shared" si="3"/>
        <v>0</v>
      </c>
      <c r="I33" s="91">
        <f t="shared" si="4"/>
        <v>0</v>
      </c>
      <c r="J33" s="91" t="str">
        <f>IFERROR(#REF!/H33,"")</f>
        <v/>
      </c>
      <c r="K33" s="165"/>
    </row>
    <row r="34" spans="1:11">
      <c r="A34" s="79">
        <f t="shared" si="2"/>
        <v>25</v>
      </c>
      <c r="B34" s="97"/>
      <c r="C34" s="98"/>
      <c r="D34" s="307"/>
      <c r="E34" s="308">
        <v>3190</v>
      </c>
      <c r="F34" s="309"/>
      <c r="G34" s="89"/>
      <c r="H34" s="90">
        <f t="shared" si="3"/>
        <v>0</v>
      </c>
      <c r="I34" s="91">
        <f t="shared" si="4"/>
        <v>0</v>
      </c>
      <c r="J34" s="91" t="str">
        <f>IFERROR(#REF!/H34,"")</f>
        <v/>
      </c>
      <c r="K34" s="165"/>
    </row>
    <row r="35" spans="1:11" hidden="1">
      <c r="A35" s="79">
        <f t="shared" si="2"/>
        <v>26</v>
      </c>
      <c r="B35" s="97"/>
      <c r="C35" s="98" t="s">
        <v>112</v>
      </c>
      <c r="D35" s="98"/>
      <c r="E35" s="99"/>
      <c r="F35" s="89"/>
      <c r="G35" s="89"/>
      <c r="H35" s="90">
        <f t="shared" si="3"/>
        <v>0</v>
      </c>
      <c r="I35" s="91">
        <f t="shared" si="4"/>
        <v>0</v>
      </c>
      <c r="J35" s="91" t="str">
        <f>IFERROR(#REF!/H35,"")</f>
        <v/>
      </c>
      <c r="K35" s="165"/>
    </row>
    <row r="36" spans="1:11" hidden="1">
      <c r="A36" s="79">
        <f t="shared" si="2"/>
        <v>27</v>
      </c>
      <c r="B36" s="100"/>
      <c r="C36" s="98" t="s">
        <v>112</v>
      </c>
      <c r="D36" s="101"/>
      <c r="E36" s="142"/>
      <c r="F36" s="103"/>
      <c r="G36" s="103"/>
      <c r="H36" s="90">
        <f t="shared" si="3"/>
        <v>0</v>
      </c>
      <c r="I36" s="91">
        <f t="shared" si="4"/>
        <v>0</v>
      </c>
      <c r="J36" s="91" t="str">
        <f>IFERROR(#REF!/H36,"")</f>
        <v/>
      </c>
      <c r="K36" s="165"/>
    </row>
    <row r="37" spans="1:11" hidden="1">
      <c r="A37" s="79">
        <f t="shared" si="2"/>
        <v>28</v>
      </c>
      <c r="B37" s="97"/>
      <c r="C37" s="98" t="s">
        <v>112</v>
      </c>
      <c r="D37" s="98"/>
      <c r="E37" s="143"/>
      <c r="F37" s="89"/>
      <c r="G37" s="89"/>
      <c r="H37" s="104">
        <f t="shared" si="3"/>
        <v>0</v>
      </c>
      <c r="I37" s="105">
        <f t="shared" si="4"/>
        <v>0</v>
      </c>
      <c r="J37" s="105" t="str">
        <f>IFERROR(#REF!/H37,"")</f>
        <v/>
      </c>
      <c r="K37" s="165"/>
    </row>
    <row r="38" spans="1:11" ht="18" customHeight="1">
      <c r="A38" s="106">
        <f t="shared" si="2"/>
        <v>29</v>
      </c>
      <c r="B38" s="107" t="s">
        <v>127</v>
      </c>
      <c r="C38" s="15"/>
      <c r="D38" s="15"/>
      <c r="E38" s="108"/>
      <c r="F38" s="109">
        <f>SUM(F25:F37)</f>
        <v>638821</v>
      </c>
      <c r="G38" s="109">
        <f>SUM(G25:G37)</f>
        <v>0</v>
      </c>
      <c r="H38" s="110">
        <f t="shared" si="3"/>
        <v>638821</v>
      </c>
      <c r="I38" s="111">
        <f t="shared" si="4"/>
        <v>0.35471630014409183</v>
      </c>
      <c r="J38" s="111" t="str">
        <f>IFERROR(#REF!/H38,"")</f>
        <v/>
      </c>
      <c r="K38" s="265"/>
    </row>
    <row r="39" spans="1:11" ht="15.75" thickBot="1">
      <c r="A39" s="144">
        <f t="shared" si="2"/>
        <v>30</v>
      </c>
      <c r="B39" s="145"/>
      <c r="C39" s="146"/>
      <c r="D39" s="146"/>
      <c r="E39" s="147"/>
      <c r="F39" s="148"/>
      <c r="G39" s="148"/>
      <c r="H39" s="149"/>
      <c r="I39" s="150"/>
      <c r="J39" s="150"/>
      <c r="K39" s="275"/>
    </row>
    <row r="40" spans="1:11" ht="18" customHeight="1" thickTop="1">
      <c r="A40" s="152">
        <f t="shared" si="2"/>
        <v>31</v>
      </c>
      <c r="B40" s="7" t="s">
        <v>128</v>
      </c>
      <c r="C40" s="7"/>
      <c r="D40" s="7"/>
      <c r="E40" s="119"/>
      <c r="F40" s="75"/>
      <c r="G40" s="75"/>
      <c r="H40" s="76"/>
      <c r="I40" s="91"/>
      <c r="J40" s="91"/>
      <c r="K40" s="276"/>
    </row>
    <row r="41" spans="1:11">
      <c r="A41" s="154">
        <f t="shared" si="2"/>
        <v>32</v>
      </c>
      <c r="B41" s="123"/>
      <c r="C41" s="123" t="s">
        <v>129</v>
      </c>
      <c r="D41" s="123"/>
      <c r="E41" s="124"/>
      <c r="F41" s="155"/>
      <c r="G41" s="155"/>
      <c r="H41" s="156"/>
      <c r="I41" s="84"/>
      <c r="J41" s="84"/>
      <c r="K41" s="277"/>
    </row>
    <row r="42" spans="1:11">
      <c r="A42" s="154">
        <f t="shared" si="2"/>
        <v>33</v>
      </c>
      <c r="B42" s="14"/>
      <c r="C42" s="14"/>
      <c r="D42" s="14" t="s">
        <v>130</v>
      </c>
      <c r="E42" s="87">
        <v>4110</v>
      </c>
      <c r="F42" s="89"/>
      <c r="G42" s="95"/>
      <c r="H42" s="90">
        <f>G42+F42</f>
        <v>0</v>
      </c>
      <c r="I42" s="91">
        <f>H42/$H$84</f>
        <v>0</v>
      </c>
      <c r="J42" s="91" t="str">
        <f>IFERROR(#REF!/H42,"")</f>
        <v/>
      </c>
      <c r="K42" s="165"/>
    </row>
    <row r="43" spans="1:11">
      <c r="A43" s="154">
        <f t="shared" si="2"/>
        <v>34</v>
      </c>
      <c r="B43" s="14"/>
      <c r="C43" s="14"/>
      <c r="D43" s="14" t="s">
        <v>131</v>
      </c>
      <c r="E43" s="87">
        <v>4190</v>
      </c>
      <c r="F43" s="158"/>
      <c r="G43" s="89"/>
      <c r="H43" s="90">
        <f>G43+F43</f>
        <v>0</v>
      </c>
      <c r="I43" s="91">
        <f>H43/$H$84</f>
        <v>0</v>
      </c>
      <c r="J43" s="91" t="str">
        <f>IFERROR(#REF!/H43,"")</f>
        <v/>
      </c>
      <c r="K43" s="165"/>
    </row>
    <row r="44" spans="1:11">
      <c r="A44" s="154">
        <f t="shared" si="2"/>
        <v>35</v>
      </c>
      <c r="B44" s="131"/>
      <c r="C44" s="131" t="s">
        <v>132</v>
      </c>
      <c r="D44" s="131"/>
      <c r="E44" s="132"/>
      <c r="F44" s="159"/>
      <c r="G44" s="88"/>
      <c r="H44" s="90"/>
      <c r="I44" s="91"/>
      <c r="J44" s="91"/>
      <c r="K44" s="278"/>
    </row>
    <row r="45" spans="1:11">
      <c r="A45" s="154">
        <f t="shared" si="2"/>
        <v>36</v>
      </c>
      <c r="B45" s="14"/>
      <c r="C45" s="14"/>
      <c r="D45" s="14" t="s">
        <v>133</v>
      </c>
      <c r="E45" s="87">
        <v>4330</v>
      </c>
      <c r="F45" s="161"/>
      <c r="G45" s="95"/>
      <c r="H45" s="90">
        <f>G45+F45</f>
        <v>0</v>
      </c>
      <c r="I45" s="91">
        <f>H45/$H$84</f>
        <v>0</v>
      </c>
      <c r="J45" s="91" t="str">
        <f>IFERROR(#REF!/H45,"")</f>
        <v/>
      </c>
      <c r="K45" s="278"/>
    </row>
    <row r="46" spans="1:11">
      <c r="A46" s="154">
        <f t="shared" si="2"/>
        <v>37</v>
      </c>
      <c r="B46" s="14"/>
      <c r="C46" s="14"/>
      <c r="D46" s="14" t="s">
        <v>134</v>
      </c>
      <c r="E46" s="87">
        <v>4390</v>
      </c>
      <c r="F46" s="162"/>
      <c r="G46" s="89"/>
      <c r="H46" s="90">
        <f>G46+F46</f>
        <v>0</v>
      </c>
      <c r="I46" s="91">
        <f>H46/$H$84</f>
        <v>0</v>
      </c>
      <c r="J46" s="91" t="str">
        <f>IFERROR(#REF!/H46,"")</f>
        <v/>
      </c>
      <c r="K46" s="165"/>
    </row>
    <row r="47" spans="1:11">
      <c r="A47" s="154">
        <f t="shared" si="2"/>
        <v>38</v>
      </c>
      <c r="B47" s="98"/>
      <c r="C47" s="98"/>
      <c r="D47" s="98"/>
      <c r="E47" s="99"/>
      <c r="F47" s="89"/>
      <c r="G47" s="89"/>
      <c r="H47" s="90">
        <f>G47+F47</f>
        <v>0</v>
      </c>
      <c r="I47" s="91">
        <f>H47/$H$84</f>
        <v>0</v>
      </c>
      <c r="J47" s="91" t="str">
        <f>IFERROR(#REF!/H47,"")</f>
        <v/>
      </c>
      <c r="K47" s="165"/>
    </row>
    <row r="48" spans="1:11">
      <c r="A48" s="154">
        <f t="shared" si="2"/>
        <v>39</v>
      </c>
      <c r="B48" s="131" t="s">
        <v>135</v>
      </c>
      <c r="C48" s="131"/>
      <c r="D48" s="131"/>
      <c r="E48" s="132"/>
      <c r="F48" s="159"/>
      <c r="G48" s="88"/>
      <c r="H48" s="90"/>
      <c r="I48" s="91"/>
      <c r="J48" s="91"/>
      <c r="K48" s="278"/>
    </row>
    <row r="49" spans="1:11">
      <c r="A49" s="154">
        <f t="shared" si="2"/>
        <v>40</v>
      </c>
      <c r="B49" s="14"/>
      <c r="C49" s="14"/>
      <c r="D49" s="14" t="s">
        <v>136</v>
      </c>
      <c r="E49" s="87">
        <v>4510</v>
      </c>
      <c r="F49" s="120"/>
      <c r="G49" s="305">
        <f>75000-3555</f>
        <v>71445</v>
      </c>
      <c r="H49" s="90">
        <f>G49+F49</f>
        <v>71445</v>
      </c>
      <c r="I49" s="91">
        <f>H49/$H$84</f>
        <v>3.9671059755071673E-2</v>
      </c>
      <c r="J49" s="91" t="str">
        <f>IFERROR(#REF!/H49,"")</f>
        <v/>
      </c>
      <c r="K49" s="165" t="s">
        <v>229</v>
      </c>
    </row>
    <row r="50" spans="1:11">
      <c r="A50" s="154">
        <f t="shared" si="2"/>
        <v>41</v>
      </c>
      <c r="B50" s="14"/>
      <c r="C50" s="14"/>
      <c r="D50" s="14" t="s">
        <v>137</v>
      </c>
      <c r="E50" s="87">
        <v>4515</v>
      </c>
      <c r="F50" s="120"/>
      <c r="G50" s="89"/>
      <c r="H50" s="90">
        <f>G50+F50</f>
        <v>0</v>
      </c>
      <c r="I50" s="91">
        <f>H50/$H$84</f>
        <v>0</v>
      </c>
      <c r="J50" s="91" t="str">
        <f>IFERROR(#REF!/H50,"")</f>
        <v/>
      </c>
      <c r="K50" s="165"/>
    </row>
    <row r="51" spans="1:11">
      <c r="A51" s="154">
        <f t="shared" si="2"/>
        <v>42</v>
      </c>
      <c r="B51" s="131"/>
      <c r="C51" s="131"/>
      <c r="D51" s="131" t="s">
        <v>138</v>
      </c>
      <c r="E51" s="132"/>
      <c r="F51" s="120"/>
      <c r="G51" s="88"/>
      <c r="H51" s="90"/>
      <c r="I51" s="91"/>
      <c r="J51" s="91"/>
      <c r="K51" s="278"/>
    </row>
    <row r="52" spans="1:11">
      <c r="A52" s="154">
        <f t="shared" si="2"/>
        <v>43</v>
      </c>
      <c r="B52" s="14"/>
      <c r="C52" s="14"/>
      <c r="D52" s="14" t="s">
        <v>139</v>
      </c>
      <c r="E52" s="87" t="s">
        <v>140</v>
      </c>
      <c r="F52" s="120"/>
      <c r="G52" s="305">
        <v>29250</v>
      </c>
      <c r="H52" s="90">
        <f>G52+F52</f>
        <v>29250</v>
      </c>
      <c r="I52" s="91">
        <f>H52/$H$84</f>
        <v>1.6241563410117524E-2</v>
      </c>
      <c r="J52" s="91" t="str">
        <f>IFERROR(#REF!/H52,"")</f>
        <v/>
      </c>
      <c r="K52" s="165"/>
    </row>
    <row r="53" spans="1:11">
      <c r="A53" s="154">
        <f t="shared" si="2"/>
        <v>44</v>
      </c>
      <c r="B53" s="14"/>
      <c r="C53" s="14"/>
      <c r="D53" s="14" t="s">
        <v>141</v>
      </c>
      <c r="E53" s="87" t="s">
        <v>142</v>
      </c>
      <c r="F53" s="120"/>
      <c r="G53" s="89"/>
      <c r="H53" s="90">
        <f>G53+F53</f>
        <v>0</v>
      </c>
      <c r="I53" s="91">
        <f>H53/$H$84</f>
        <v>0</v>
      </c>
      <c r="J53" s="91" t="str">
        <f>IFERROR(#REF!/H53,"")</f>
        <v/>
      </c>
      <c r="K53" s="165"/>
    </row>
    <row r="54" spans="1:11">
      <c r="A54" s="154">
        <f t="shared" si="2"/>
        <v>45</v>
      </c>
      <c r="B54" s="14"/>
      <c r="C54" s="14"/>
      <c r="D54" s="138" t="s">
        <v>143</v>
      </c>
      <c r="E54" s="87">
        <v>4535</v>
      </c>
      <c r="F54" s="120"/>
      <c r="G54" s="89"/>
      <c r="H54" s="90">
        <f>G54+F54</f>
        <v>0</v>
      </c>
      <c r="I54" s="91">
        <f>H54/$H$84</f>
        <v>0</v>
      </c>
      <c r="J54" s="91" t="str">
        <f>IFERROR(#REF!/H54,"")</f>
        <v/>
      </c>
      <c r="K54" s="165"/>
    </row>
    <row r="55" spans="1:11">
      <c r="A55" s="154">
        <f t="shared" si="2"/>
        <v>46</v>
      </c>
      <c r="B55" s="14"/>
      <c r="C55" s="14"/>
      <c r="D55" s="14" t="s">
        <v>144</v>
      </c>
      <c r="E55" s="87" t="s">
        <v>145</v>
      </c>
      <c r="F55" s="120"/>
      <c r="G55" s="89"/>
      <c r="H55" s="90">
        <f>G55+F55</f>
        <v>0</v>
      </c>
      <c r="I55" s="91">
        <f>H55/$H$84</f>
        <v>0</v>
      </c>
      <c r="J55" s="91" t="str">
        <f>IFERROR(#REF!/H55,"")</f>
        <v/>
      </c>
      <c r="K55" s="165"/>
    </row>
    <row r="56" spans="1:11">
      <c r="A56" s="154">
        <f t="shared" si="2"/>
        <v>47</v>
      </c>
      <c r="B56" s="131"/>
      <c r="C56" s="131"/>
      <c r="D56" s="131" t="s">
        <v>146</v>
      </c>
      <c r="E56" s="132"/>
      <c r="F56" s="120"/>
      <c r="G56" s="88"/>
      <c r="H56" s="90"/>
      <c r="I56" s="91"/>
      <c r="J56" s="91"/>
      <c r="K56" s="278"/>
    </row>
    <row r="57" spans="1:11">
      <c r="A57" s="154">
        <f t="shared" si="2"/>
        <v>48</v>
      </c>
      <c r="B57" s="14"/>
      <c r="C57" s="14"/>
      <c r="D57" s="14" t="s">
        <v>147</v>
      </c>
      <c r="E57" s="87" t="s">
        <v>148</v>
      </c>
      <c r="F57" s="120"/>
      <c r="G57" s="305">
        <v>19095</v>
      </c>
      <c r="H57" s="90">
        <f t="shared" ref="H57:H69" si="5">G57+F57</f>
        <v>19095</v>
      </c>
      <c r="I57" s="91">
        <f t="shared" ref="I57:I69" si="6">H57/$H$84</f>
        <v>1.0602825754399798E-2</v>
      </c>
      <c r="J57" s="91" t="str">
        <f>IFERROR(#REF!/H57,"")</f>
        <v/>
      </c>
      <c r="K57" s="165"/>
    </row>
    <row r="58" spans="1:11">
      <c r="A58" s="154">
        <f t="shared" si="2"/>
        <v>49</v>
      </c>
      <c r="B58" s="14"/>
      <c r="C58" s="14"/>
      <c r="D58" s="14" t="s">
        <v>149</v>
      </c>
      <c r="E58" s="87">
        <v>4550</v>
      </c>
      <c r="F58" s="120"/>
      <c r="G58" s="89"/>
      <c r="H58" s="90">
        <f t="shared" si="5"/>
        <v>0</v>
      </c>
      <c r="I58" s="91">
        <f t="shared" si="6"/>
        <v>0</v>
      </c>
      <c r="J58" s="91" t="str">
        <f>IFERROR(#REF!/H58,"")</f>
        <v/>
      </c>
      <c r="K58" s="165"/>
    </row>
    <row r="59" spans="1:11">
      <c r="A59" s="154">
        <f t="shared" si="2"/>
        <v>50</v>
      </c>
      <c r="B59" s="14"/>
      <c r="C59" s="14"/>
      <c r="D59" s="14" t="s">
        <v>151</v>
      </c>
      <c r="E59" s="87" t="s">
        <v>152</v>
      </c>
      <c r="F59" s="120"/>
      <c r="G59" s="89"/>
      <c r="H59" s="90">
        <f t="shared" si="5"/>
        <v>0</v>
      </c>
      <c r="I59" s="91">
        <f t="shared" si="6"/>
        <v>0</v>
      </c>
      <c r="J59" s="91" t="str">
        <f>IFERROR(#REF!/H59,"")</f>
        <v/>
      </c>
      <c r="K59" s="165"/>
    </row>
    <row r="60" spans="1:11">
      <c r="A60" s="154">
        <f t="shared" si="2"/>
        <v>51</v>
      </c>
      <c r="B60" s="14"/>
      <c r="C60" s="14"/>
      <c r="D60" s="14" t="s">
        <v>153</v>
      </c>
      <c r="E60" s="87" t="s">
        <v>154</v>
      </c>
      <c r="F60" s="120"/>
      <c r="G60" s="305">
        <v>3186</v>
      </c>
      <c r="H60" s="90">
        <f t="shared" si="5"/>
        <v>3186</v>
      </c>
      <c r="I60" s="91">
        <f t="shared" si="6"/>
        <v>1.7690810606712623E-3</v>
      </c>
      <c r="J60" s="91" t="str">
        <f>IFERROR(#REF!/H60,"")</f>
        <v/>
      </c>
      <c r="K60" s="165"/>
    </row>
    <row r="61" spans="1:11">
      <c r="A61" s="154">
        <f t="shared" si="2"/>
        <v>52</v>
      </c>
      <c r="B61" s="14"/>
      <c r="C61" s="14"/>
      <c r="D61" s="14" t="s">
        <v>155</v>
      </c>
      <c r="E61" s="87" t="s">
        <v>156</v>
      </c>
      <c r="F61" s="120"/>
      <c r="G61" s="305">
        <v>4505</v>
      </c>
      <c r="H61" s="90">
        <f t="shared" si="5"/>
        <v>4505</v>
      </c>
      <c r="I61" s="91">
        <f t="shared" si="6"/>
        <v>2.5014783987206647E-3</v>
      </c>
      <c r="J61" s="91" t="str">
        <f>IFERROR(#REF!/H61,"")</f>
        <v/>
      </c>
      <c r="K61" s="165"/>
    </row>
    <row r="62" spans="1:11">
      <c r="A62" s="154">
        <f t="shared" si="2"/>
        <v>53</v>
      </c>
      <c r="B62" s="14"/>
      <c r="C62" s="14"/>
      <c r="D62" s="14" t="s">
        <v>157</v>
      </c>
      <c r="E62" s="87">
        <v>4559</v>
      </c>
      <c r="F62" s="120"/>
      <c r="G62" s="89"/>
      <c r="H62" s="90">
        <f t="shared" si="5"/>
        <v>0</v>
      </c>
      <c r="I62" s="91">
        <f t="shared" si="6"/>
        <v>0</v>
      </c>
      <c r="J62" s="91" t="str">
        <f>IFERROR(#REF!/H62,"")</f>
        <v/>
      </c>
      <c r="K62" s="165"/>
    </row>
    <row r="63" spans="1:11">
      <c r="A63" s="154">
        <f t="shared" si="2"/>
        <v>54</v>
      </c>
      <c r="B63" s="14"/>
      <c r="C63" s="14"/>
      <c r="D63" s="14" t="s">
        <v>158</v>
      </c>
      <c r="E63" s="87">
        <v>4553</v>
      </c>
      <c r="F63" s="120"/>
      <c r="G63" s="89"/>
      <c r="H63" s="90">
        <f t="shared" si="5"/>
        <v>0</v>
      </c>
      <c r="I63" s="91">
        <f t="shared" si="6"/>
        <v>0</v>
      </c>
      <c r="J63" s="91" t="str">
        <f>IFERROR(#REF!/H63,"")</f>
        <v/>
      </c>
      <c r="K63" s="165"/>
    </row>
    <row r="64" spans="1:11">
      <c r="A64" s="154">
        <f t="shared" si="2"/>
        <v>55</v>
      </c>
      <c r="B64" s="14"/>
      <c r="C64" s="14"/>
      <c r="D64" s="14" t="s">
        <v>159</v>
      </c>
      <c r="E64" s="87">
        <v>4559</v>
      </c>
      <c r="F64" s="120"/>
      <c r="G64" s="89"/>
      <c r="H64" s="90">
        <f t="shared" si="5"/>
        <v>0</v>
      </c>
      <c r="I64" s="91">
        <f t="shared" si="6"/>
        <v>0</v>
      </c>
      <c r="J64" s="91" t="str">
        <f>IFERROR(#REF!/H64,"")</f>
        <v/>
      </c>
      <c r="K64" s="165"/>
    </row>
    <row r="65" spans="1:11">
      <c r="A65" s="154">
        <f t="shared" si="2"/>
        <v>56</v>
      </c>
      <c r="B65" s="131"/>
      <c r="C65" s="131"/>
      <c r="D65" s="131" t="s">
        <v>160</v>
      </c>
      <c r="E65" s="163"/>
      <c r="F65" s="164"/>
      <c r="G65" s="95"/>
      <c r="H65" s="90">
        <f t="shared" si="5"/>
        <v>0</v>
      </c>
      <c r="I65" s="91">
        <f t="shared" si="6"/>
        <v>0</v>
      </c>
      <c r="J65" s="91" t="str">
        <f>IFERROR(#REF!/H65,"")</f>
        <v/>
      </c>
      <c r="K65" s="165"/>
    </row>
    <row r="66" spans="1:11">
      <c r="A66" s="154">
        <f t="shared" si="2"/>
        <v>57</v>
      </c>
      <c r="B66" s="14"/>
      <c r="C66" s="14"/>
      <c r="D66" s="14" t="s">
        <v>247</v>
      </c>
      <c r="E66" s="87">
        <v>4590</v>
      </c>
      <c r="F66" s="120"/>
      <c r="G66" s="89"/>
      <c r="H66" s="90">
        <f t="shared" si="5"/>
        <v>0</v>
      </c>
      <c r="I66" s="91">
        <f t="shared" si="6"/>
        <v>0</v>
      </c>
      <c r="J66" s="91" t="str">
        <f>IFERROR(#REF!/H66,"")</f>
        <v/>
      </c>
      <c r="K66" s="165"/>
    </row>
    <row r="67" spans="1:11">
      <c r="A67" s="154">
        <f t="shared" si="2"/>
        <v>58</v>
      </c>
      <c r="B67" s="14"/>
      <c r="C67" s="14"/>
      <c r="D67" s="14" t="s">
        <v>162</v>
      </c>
      <c r="E67" s="87">
        <v>4590</v>
      </c>
      <c r="F67" s="120"/>
      <c r="G67" s="89"/>
      <c r="H67" s="90">
        <f t="shared" si="5"/>
        <v>0</v>
      </c>
      <c r="I67" s="91">
        <f t="shared" si="6"/>
        <v>0</v>
      </c>
      <c r="J67" s="91" t="str">
        <f>IFERROR(#REF!/H67,"")</f>
        <v/>
      </c>
      <c r="K67" s="165"/>
    </row>
    <row r="68" spans="1:11">
      <c r="A68" s="154">
        <f t="shared" si="2"/>
        <v>59</v>
      </c>
      <c r="B68" s="14"/>
      <c r="C68" s="14"/>
      <c r="D68" s="14" t="s">
        <v>163</v>
      </c>
      <c r="E68" s="87">
        <v>4590</v>
      </c>
      <c r="F68" s="120"/>
      <c r="G68" s="305"/>
      <c r="H68" s="90">
        <f t="shared" si="5"/>
        <v>0</v>
      </c>
      <c r="I68" s="91">
        <f t="shared" si="6"/>
        <v>0</v>
      </c>
      <c r="J68" s="91" t="str">
        <f>IFERROR(#REF!/H68,"")</f>
        <v/>
      </c>
      <c r="K68" s="165"/>
    </row>
    <row r="69" spans="1:11">
      <c r="A69" s="154">
        <f t="shared" si="2"/>
        <v>60</v>
      </c>
      <c r="B69" s="14"/>
      <c r="C69" s="14"/>
      <c r="D69" s="14" t="s">
        <v>164</v>
      </c>
      <c r="E69" s="87">
        <v>4590</v>
      </c>
      <c r="F69" s="120"/>
      <c r="G69" s="305">
        <v>118793</v>
      </c>
      <c r="H69" s="90">
        <f t="shared" si="5"/>
        <v>118793</v>
      </c>
      <c r="I69" s="91">
        <f t="shared" si="6"/>
        <v>6.5961847595832165E-2</v>
      </c>
      <c r="J69" s="91" t="str">
        <f>IFERROR(#REF!/H69,"")</f>
        <v/>
      </c>
      <c r="K69" s="165" t="s">
        <v>261</v>
      </c>
    </row>
    <row r="70" spans="1:11">
      <c r="A70" s="154">
        <f t="shared" si="2"/>
        <v>61</v>
      </c>
      <c r="B70" s="14"/>
      <c r="C70" s="14"/>
      <c r="D70" s="14" t="s">
        <v>248</v>
      </c>
      <c r="E70" s="87">
        <v>4590</v>
      </c>
      <c r="F70" s="120"/>
      <c r="G70" s="89"/>
      <c r="H70" s="90"/>
      <c r="I70" s="91"/>
      <c r="J70" s="91"/>
      <c r="K70" s="165"/>
    </row>
    <row r="71" spans="1:11">
      <c r="A71" s="154">
        <f t="shared" si="2"/>
        <v>62</v>
      </c>
      <c r="B71" s="14"/>
      <c r="C71" s="14"/>
      <c r="D71" s="14" t="s">
        <v>166</v>
      </c>
      <c r="E71" s="87">
        <v>4590</v>
      </c>
      <c r="F71" s="120"/>
      <c r="G71" s="305"/>
      <c r="H71" s="90">
        <f t="shared" ref="H71:H79" si="7">G71+F71</f>
        <v>0</v>
      </c>
      <c r="I71" s="91">
        <f t="shared" ref="I71:I79" si="8">H71/$H$84</f>
        <v>0</v>
      </c>
      <c r="J71" s="91" t="str">
        <f>IFERROR(#REF!/H71,"")</f>
        <v/>
      </c>
      <c r="K71" s="165"/>
    </row>
    <row r="72" spans="1:11">
      <c r="A72" s="154">
        <f t="shared" si="2"/>
        <v>63</v>
      </c>
      <c r="B72" s="14"/>
      <c r="C72" s="14"/>
      <c r="D72" s="14" t="s">
        <v>167</v>
      </c>
      <c r="E72" s="87">
        <v>4580</v>
      </c>
      <c r="F72" s="120"/>
      <c r="G72" s="89"/>
      <c r="H72" s="90">
        <f t="shared" si="7"/>
        <v>0</v>
      </c>
      <c r="I72" s="91">
        <f t="shared" si="8"/>
        <v>0</v>
      </c>
      <c r="J72" s="91" t="str">
        <f>IFERROR(#REF!/H72,"")</f>
        <v/>
      </c>
      <c r="K72" s="165"/>
    </row>
    <row r="73" spans="1:11">
      <c r="A73" s="154">
        <f t="shared" si="2"/>
        <v>64</v>
      </c>
      <c r="B73" s="14"/>
      <c r="C73" s="14"/>
      <c r="D73" s="14" t="s">
        <v>168</v>
      </c>
      <c r="E73" s="87" t="s">
        <v>169</v>
      </c>
      <c r="F73" s="120"/>
      <c r="G73" s="89"/>
      <c r="H73" s="90">
        <f t="shared" si="7"/>
        <v>0</v>
      </c>
      <c r="I73" s="91">
        <f t="shared" si="8"/>
        <v>0</v>
      </c>
      <c r="J73" s="91" t="str">
        <f>IFERROR(#REF!/H73,"")</f>
        <v/>
      </c>
      <c r="K73" s="165"/>
    </row>
    <row r="74" spans="1:11">
      <c r="A74" s="154">
        <f t="shared" si="2"/>
        <v>65</v>
      </c>
      <c r="B74" s="14"/>
      <c r="C74" s="14"/>
      <c r="D74" s="166" t="s">
        <v>170</v>
      </c>
      <c r="E74" s="87">
        <v>4590</v>
      </c>
      <c r="F74" s="120"/>
      <c r="G74" s="89"/>
      <c r="H74" s="90">
        <f t="shared" si="7"/>
        <v>0</v>
      </c>
      <c r="I74" s="91">
        <f t="shared" si="8"/>
        <v>0</v>
      </c>
      <c r="J74" s="91" t="str">
        <f>IFERROR(#REF!/H74,"")</f>
        <v/>
      </c>
      <c r="K74" s="165"/>
    </row>
    <row r="75" spans="1:11">
      <c r="A75" s="154">
        <f t="shared" si="2"/>
        <v>66</v>
      </c>
      <c r="B75" s="101"/>
      <c r="C75" s="98" t="s">
        <v>112</v>
      </c>
      <c r="D75" s="101"/>
      <c r="E75" s="102"/>
      <c r="F75" s="103"/>
      <c r="G75" s="103"/>
      <c r="H75" s="90">
        <f t="shared" si="7"/>
        <v>0</v>
      </c>
      <c r="I75" s="91">
        <f t="shared" si="8"/>
        <v>0</v>
      </c>
      <c r="J75" s="91" t="str">
        <f>IFERROR(#REF!/H75,"")</f>
        <v/>
      </c>
      <c r="K75" s="165"/>
    </row>
    <row r="76" spans="1:11" hidden="1">
      <c r="A76" s="154">
        <f t="shared" si="2"/>
        <v>67</v>
      </c>
      <c r="B76" s="101"/>
      <c r="C76" s="98" t="s">
        <v>112</v>
      </c>
      <c r="D76" s="101"/>
      <c r="E76" s="102"/>
      <c r="F76" s="103"/>
      <c r="G76" s="103"/>
      <c r="H76" s="90">
        <f t="shared" si="7"/>
        <v>0</v>
      </c>
      <c r="I76" s="91">
        <f t="shared" si="8"/>
        <v>0</v>
      </c>
      <c r="J76" s="91" t="str">
        <f>IFERROR(#REF!/H76,"")</f>
        <v/>
      </c>
      <c r="K76" s="165"/>
    </row>
    <row r="77" spans="1:11" ht="14.25" hidden="1" customHeight="1">
      <c r="A77" s="154">
        <f t="shared" ref="A77:A140" si="9">A76+1</f>
        <v>68</v>
      </c>
      <c r="B77" s="101"/>
      <c r="C77" s="98" t="s">
        <v>112</v>
      </c>
      <c r="D77" s="101"/>
      <c r="E77" s="102"/>
      <c r="F77" s="103"/>
      <c r="G77" s="103"/>
      <c r="H77" s="90">
        <f t="shared" si="7"/>
        <v>0</v>
      </c>
      <c r="I77" s="91">
        <f t="shared" si="8"/>
        <v>0</v>
      </c>
      <c r="J77" s="91" t="str">
        <f>IFERROR(#REF!/H77,"")</f>
        <v/>
      </c>
      <c r="K77" s="165"/>
    </row>
    <row r="78" spans="1:11">
      <c r="A78" s="154">
        <f t="shared" si="9"/>
        <v>69</v>
      </c>
      <c r="B78" s="98"/>
      <c r="C78" s="98" t="s">
        <v>112</v>
      </c>
      <c r="D78" s="98"/>
      <c r="E78" s="143"/>
      <c r="F78" s="89"/>
      <c r="G78" s="89"/>
      <c r="H78" s="104">
        <f t="shared" si="7"/>
        <v>0</v>
      </c>
      <c r="I78" s="105">
        <f t="shared" si="8"/>
        <v>0</v>
      </c>
      <c r="J78" s="105" t="str">
        <f>IFERROR(#REF!/H78,"")</f>
        <v/>
      </c>
      <c r="K78" s="165"/>
    </row>
    <row r="79" spans="1:11">
      <c r="A79" s="167">
        <f t="shared" si="9"/>
        <v>70</v>
      </c>
      <c r="B79" s="15" t="s">
        <v>171</v>
      </c>
      <c r="C79" s="15"/>
      <c r="D79" s="15"/>
      <c r="E79" s="108"/>
      <c r="F79" s="109">
        <f>SUM(F42:F78)</f>
        <v>0</v>
      </c>
      <c r="G79" s="109">
        <f>SUM(G42:G78)</f>
        <v>246274</v>
      </c>
      <c r="H79" s="110">
        <f t="shared" si="7"/>
        <v>246274</v>
      </c>
      <c r="I79" s="111">
        <f t="shared" si="8"/>
        <v>0.13674785597481309</v>
      </c>
      <c r="J79" s="111" t="str">
        <f>IFERROR(#REF!/H79,"")</f>
        <v/>
      </c>
      <c r="K79" s="265"/>
    </row>
    <row r="80" spans="1:11">
      <c r="A80" s="154">
        <f t="shared" si="9"/>
        <v>71</v>
      </c>
      <c r="B80" s="14"/>
      <c r="C80" s="14"/>
      <c r="D80" s="14"/>
      <c r="E80" s="168"/>
      <c r="F80" s="169"/>
      <c r="G80" s="169"/>
      <c r="H80" s="170"/>
      <c r="I80" s="171"/>
      <c r="J80" s="171"/>
      <c r="K80" s="282"/>
    </row>
    <row r="81" spans="1:14">
      <c r="A81" s="167">
        <f t="shared" si="9"/>
        <v>72</v>
      </c>
      <c r="B81" s="15" t="s">
        <v>172</v>
      </c>
      <c r="C81" s="15"/>
      <c r="D81" s="15"/>
      <c r="E81" s="124"/>
      <c r="F81" s="125"/>
      <c r="G81" s="125"/>
      <c r="H81" s="83"/>
      <c r="I81" s="84"/>
      <c r="J81" s="84"/>
      <c r="K81" s="283"/>
    </row>
    <row r="82" spans="1:14">
      <c r="A82" s="154">
        <f t="shared" si="9"/>
        <v>73</v>
      </c>
      <c r="B82" s="98"/>
      <c r="C82" s="98"/>
      <c r="D82" s="98"/>
      <c r="E82" s="99"/>
      <c r="F82" s="89"/>
      <c r="G82" s="89"/>
      <c r="H82" s="90">
        <f>G82+F82</f>
        <v>0</v>
      </c>
      <c r="I82" s="91">
        <f>H82/$H$84</f>
        <v>0</v>
      </c>
      <c r="J82" s="91" t="str">
        <f>IFERROR(#REF!/H82,"")</f>
        <v/>
      </c>
      <c r="K82" s="165"/>
    </row>
    <row r="83" spans="1:14">
      <c r="A83" s="154">
        <f t="shared" si="9"/>
        <v>74</v>
      </c>
      <c r="B83" s="98"/>
      <c r="C83" s="98"/>
      <c r="D83" s="98"/>
      <c r="E83" s="143"/>
      <c r="F83" s="89"/>
      <c r="G83" s="89"/>
      <c r="H83" s="104">
        <f>G83+F83</f>
        <v>0</v>
      </c>
      <c r="I83" s="105">
        <f>H83/$H$84</f>
        <v>0</v>
      </c>
      <c r="J83" s="105" t="str">
        <f>IFERROR(#REF!/H83,"")</f>
        <v/>
      </c>
      <c r="K83" s="165"/>
    </row>
    <row r="84" spans="1:14" ht="18.75" customHeight="1" thickBot="1">
      <c r="A84" s="174">
        <f>A83+1</f>
        <v>75</v>
      </c>
      <c r="B84" s="39" t="s">
        <v>173</v>
      </c>
      <c r="C84" s="39"/>
      <c r="D84" s="39"/>
      <c r="E84" s="175"/>
      <c r="F84" s="176">
        <f>F21+F38+F79+F82+F83</f>
        <v>1554661</v>
      </c>
      <c r="G84" s="176">
        <f>G21+G38+G79+G82+G83</f>
        <v>246274</v>
      </c>
      <c r="H84" s="177">
        <f>G84+F84</f>
        <v>1800935</v>
      </c>
      <c r="I84" s="178">
        <f>H84/$H$84</f>
        <v>1</v>
      </c>
      <c r="J84" s="178" t="str">
        <f>IFERROR(#REF!/H84,"")</f>
        <v/>
      </c>
      <c r="K84" s="285"/>
    </row>
    <row r="85" spans="1:14" ht="20.25" customHeight="1" thickTop="1">
      <c r="A85" s="180">
        <f t="shared" si="9"/>
        <v>76</v>
      </c>
      <c r="B85" s="336" t="s">
        <v>3</v>
      </c>
      <c r="C85" s="337"/>
      <c r="D85" s="337"/>
      <c r="E85" s="70"/>
      <c r="F85" s="181"/>
      <c r="G85" s="182"/>
      <c r="H85" s="183"/>
      <c r="I85" s="184"/>
      <c r="J85" s="184"/>
      <c r="K85" s="287"/>
    </row>
    <row r="86" spans="1:14" ht="17.25" customHeight="1">
      <c r="A86" s="186">
        <f t="shared" si="9"/>
        <v>77</v>
      </c>
      <c r="B86" s="6"/>
      <c r="C86" s="7"/>
      <c r="D86" s="7" t="s">
        <v>4</v>
      </c>
      <c r="E86" s="187"/>
      <c r="F86" s="188"/>
      <c r="G86" s="188"/>
      <c r="H86" s="189"/>
      <c r="I86" s="91"/>
      <c r="J86" s="91"/>
      <c r="K86" s="288"/>
    </row>
    <row r="87" spans="1:14" ht="17.25" customHeight="1">
      <c r="A87" s="154">
        <f t="shared" si="9"/>
        <v>78</v>
      </c>
      <c r="B87" s="9"/>
      <c r="C87" s="10" t="s">
        <v>174</v>
      </c>
      <c r="D87" s="20"/>
      <c r="E87" s="191"/>
      <c r="F87" s="192"/>
      <c r="G87" s="192"/>
      <c r="H87" s="83"/>
      <c r="I87" s="84"/>
      <c r="J87" s="84"/>
      <c r="K87" s="283"/>
    </row>
    <row r="88" spans="1:14" ht="15" customHeight="1">
      <c r="A88" s="154">
        <f t="shared" si="9"/>
        <v>79</v>
      </c>
      <c r="B88" s="9"/>
      <c r="C88" s="12"/>
      <c r="D88" s="14" t="s">
        <v>175</v>
      </c>
      <c r="E88" s="87">
        <v>111</v>
      </c>
      <c r="F88" s="195">
        <f>93199</f>
        <v>93199</v>
      </c>
      <c r="G88" s="195"/>
      <c r="H88" s="90">
        <f t="shared" ref="H88:H96" si="10">G88+F88</f>
        <v>93199</v>
      </c>
      <c r="I88" s="91">
        <f>H88/$H$155</f>
        <v>5.1839794067096386E-2</v>
      </c>
      <c r="J88" s="91" t="str">
        <f>IFERROR(#REF!/H88,"")</f>
        <v/>
      </c>
      <c r="K88" s="165"/>
      <c r="L88" s="314"/>
      <c r="N88" s="315"/>
    </row>
    <row r="89" spans="1:14" ht="15" customHeight="1">
      <c r="A89" s="154">
        <f t="shared" si="9"/>
        <v>80</v>
      </c>
      <c r="B89" s="9"/>
      <c r="C89" s="12"/>
      <c r="D89" s="14" t="s">
        <v>249</v>
      </c>
      <c r="E89" s="87">
        <v>111</v>
      </c>
      <c r="F89" s="195">
        <f>53594-G89</f>
        <v>19937</v>
      </c>
      <c r="G89" s="310">
        <f>22492+11165</f>
        <v>33657</v>
      </c>
      <c r="H89" s="90">
        <f>G89+F89</f>
        <v>53594</v>
      </c>
      <c r="I89" s="91">
        <f t="shared" ref="I89:I96" si="11">H89/$H$155</f>
        <v>2.9810426326805691E-2</v>
      </c>
      <c r="J89" s="91" t="str">
        <f>IFERROR(#REF!/H89,"")</f>
        <v/>
      </c>
      <c r="K89" s="165"/>
      <c r="L89" s="314"/>
      <c r="N89" s="315"/>
    </row>
    <row r="90" spans="1:14" ht="15" customHeight="1">
      <c r="A90" s="154">
        <f t="shared" si="9"/>
        <v>81</v>
      </c>
      <c r="B90" s="9"/>
      <c r="C90" s="12"/>
      <c r="D90" s="14" t="s">
        <v>177</v>
      </c>
      <c r="E90" s="87">
        <v>111</v>
      </c>
      <c r="F90" s="311">
        <v>50594</v>
      </c>
      <c r="G90" s="195"/>
      <c r="H90" s="90">
        <f t="shared" si="10"/>
        <v>50594</v>
      </c>
      <c r="I90" s="91">
        <f t="shared" si="11"/>
        <v>2.8141745523349762E-2</v>
      </c>
      <c r="J90" s="91" t="str">
        <f>IFERROR(#REF!/H90,"")</f>
        <v/>
      </c>
      <c r="K90" s="165"/>
      <c r="L90" s="314"/>
      <c r="N90" s="315"/>
    </row>
    <row r="91" spans="1:14">
      <c r="A91" s="154">
        <f t="shared" si="9"/>
        <v>82</v>
      </c>
      <c r="B91" s="9"/>
      <c r="C91" s="14" t="s">
        <v>178</v>
      </c>
      <c r="D91" s="14"/>
      <c r="E91" s="87">
        <v>112</v>
      </c>
      <c r="F91" s="311">
        <f>52129+43069+59205+47999+65349-G91</f>
        <v>136646.25</v>
      </c>
      <c r="G91" s="311">
        <f>43069+22260+(65349/12*2.5)+(59205/12*2.5)+12163+27664</f>
        <v>131104.75</v>
      </c>
      <c r="H91" s="90">
        <f t="shared" si="10"/>
        <v>267751</v>
      </c>
      <c r="I91" s="91">
        <f t="shared" si="11"/>
        <v>0.14893031793537617</v>
      </c>
      <c r="J91" s="91" t="str">
        <f>IFERROR(#REF!/H91,"")</f>
        <v/>
      </c>
      <c r="K91" s="165"/>
      <c r="L91" s="314"/>
      <c r="N91" s="315"/>
    </row>
    <row r="92" spans="1:14">
      <c r="A92" s="154">
        <f t="shared" si="9"/>
        <v>83</v>
      </c>
      <c r="B92" s="14"/>
      <c r="C92" s="14" t="s">
        <v>179</v>
      </c>
      <c r="D92" s="14"/>
      <c r="E92" s="87">
        <v>113</v>
      </c>
      <c r="F92" s="311">
        <f>61409+59159-G192</f>
        <v>120568</v>
      </c>
      <c r="G92" s="310">
        <f>61409/24*5</f>
        <v>12793.541666666668</v>
      </c>
      <c r="H92" s="90">
        <f t="shared" si="10"/>
        <v>133361.54166666666</v>
      </c>
      <c r="I92" s="91">
        <f t="shared" si="11"/>
        <v>7.4179281499484898E-2</v>
      </c>
      <c r="J92" s="91" t="str">
        <f>IFERROR(#REF!/H92,"")</f>
        <v/>
      </c>
      <c r="K92" s="165"/>
      <c r="L92" s="314"/>
      <c r="N92" s="315"/>
    </row>
    <row r="93" spans="1:14">
      <c r="A93" s="154">
        <f t="shared" si="9"/>
        <v>84</v>
      </c>
      <c r="B93" s="14"/>
      <c r="C93" s="14" t="s">
        <v>10</v>
      </c>
      <c r="D93" s="14"/>
      <c r="E93" s="87">
        <v>114</v>
      </c>
      <c r="F93" s="311">
        <f>35624</f>
        <v>35624</v>
      </c>
      <c r="G93" s="195"/>
      <c r="H93" s="90">
        <f t="shared" si="10"/>
        <v>35624</v>
      </c>
      <c r="I93" s="91">
        <f t="shared" si="11"/>
        <v>1.9815028314104675E-2</v>
      </c>
      <c r="J93" s="91" t="str">
        <f>IFERROR(#REF!/H93,"")</f>
        <v/>
      </c>
      <c r="K93" s="165"/>
      <c r="L93" s="314"/>
      <c r="N93" s="315"/>
    </row>
    <row r="94" spans="1:14" ht="15" customHeight="1">
      <c r="A94" s="154">
        <f t="shared" si="9"/>
        <v>85</v>
      </c>
      <c r="B94" s="14"/>
      <c r="C94" s="14" t="s">
        <v>11</v>
      </c>
      <c r="D94" s="14"/>
      <c r="E94" s="87">
        <v>116</v>
      </c>
      <c r="F94" s="311">
        <v>15500</v>
      </c>
      <c r="G94" s="195"/>
      <c r="H94" s="90">
        <f t="shared" si="10"/>
        <v>15500</v>
      </c>
      <c r="I94" s="91">
        <f t="shared" si="11"/>
        <v>8.6215174845223012E-3</v>
      </c>
      <c r="J94" s="91" t="str">
        <f>IFERROR(#REF!/H94,"")</f>
        <v/>
      </c>
      <c r="K94" s="165"/>
      <c r="L94" s="314"/>
      <c r="N94" s="315"/>
    </row>
    <row r="95" spans="1:14">
      <c r="A95" s="154">
        <f t="shared" si="9"/>
        <v>86</v>
      </c>
      <c r="B95" s="14"/>
      <c r="C95" s="12" t="s">
        <v>180</v>
      </c>
      <c r="D95" s="14"/>
      <c r="E95" s="87" t="s">
        <v>181</v>
      </c>
      <c r="F95" s="311">
        <f>33858+20826+20826+20473+27869-6312</f>
        <v>117540</v>
      </c>
      <c r="G95" s="310">
        <f>12160+6312</f>
        <v>18472</v>
      </c>
      <c r="H95" s="104">
        <f t="shared" si="10"/>
        <v>136012</v>
      </c>
      <c r="I95" s="105">
        <f t="shared" si="11"/>
        <v>7.5653537813215946E-2</v>
      </c>
      <c r="J95" s="105" t="str">
        <f>IFERROR(#REF!/H95,"")</f>
        <v/>
      </c>
      <c r="K95" s="165"/>
      <c r="L95" s="314"/>
      <c r="N95" s="315"/>
    </row>
    <row r="96" spans="1:14" ht="15" customHeight="1">
      <c r="A96" s="167">
        <f t="shared" si="9"/>
        <v>87</v>
      </c>
      <c r="B96" s="15"/>
      <c r="C96" s="15"/>
      <c r="D96" s="16" t="s">
        <v>12</v>
      </c>
      <c r="E96" s="196" t="s">
        <v>13</v>
      </c>
      <c r="F96" s="197">
        <f>SUM(F88:F95)</f>
        <v>589608.25</v>
      </c>
      <c r="G96" s="197">
        <f>SUM(G88:G95)</f>
        <v>196027.29166666666</v>
      </c>
      <c r="H96" s="110">
        <f t="shared" si="10"/>
        <v>785635.54166666663</v>
      </c>
      <c r="I96" s="111">
        <f t="shared" si="11"/>
        <v>0.43699164896395581</v>
      </c>
      <c r="J96" s="111" t="str">
        <f>IFERROR(#REF!/H96,"")</f>
        <v/>
      </c>
      <c r="K96" s="265"/>
      <c r="L96" s="314"/>
      <c r="N96" s="315"/>
    </row>
    <row r="97" spans="1:14" ht="17.25" customHeight="1">
      <c r="A97" s="186">
        <f t="shared" si="9"/>
        <v>88</v>
      </c>
      <c r="B97" s="6" t="s">
        <v>14</v>
      </c>
      <c r="C97" s="18"/>
      <c r="D97" s="6"/>
      <c r="E97" s="132"/>
      <c r="F97" s="198"/>
      <c r="G97" s="198"/>
      <c r="H97" s="199"/>
      <c r="I97" s="200"/>
      <c r="J97" s="200"/>
      <c r="K97" s="278"/>
      <c r="L97" s="314"/>
      <c r="N97" s="315"/>
    </row>
    <row r="98" spans="1:14" ht="28.5">
      <c r="A98" s="154">
        <f t="shared" si="9"/>
        <v>89</v>
      </c>
      <c r="B98" s="20"/>
      <c r="C98" s="20" t="s">
        <v>15</v>
      </c>
      <c r="D98" s="20"/>
      <c r="E98" s="81">
        <v>210</v>
      </c>
      <c r="F98" s="319">
        <f>(795*0.8)*12*10-G98</f>
        <v>72321.600000000006</v>
      </c>
      <c r="G98" s="312">
        <f>(833*0.8)*2*3</f>
        <v>3998.4000000000005</v>
      </c>
      <c r="H98" s="83">
        <f t="shared" ref="H98:H105" si="12">G98+F98</f>
        <v>76320</v>
      </c>
      <c r="I98" s="84">
        <f t="shared" ref="I98:I105" si="13">H98/$H$155</f>
        <v>4.2451239639918842E-2</v>
      </c>
      <c r="J98" s="84" t="str">
        <f>IFERROR(#REF!/H98,"")</f>
        <v/>
      </c>
      <c r="K98" s="256" t="s">
        <v>250</v>
      </c>
      <c r="L98" s="314"/>
      <c r="N98" s="315"/>
    </row>
    <row r="99" spans="1:14" ht="15" customHeight="1">
      <c r="A99" s="154">
        <f t="shared" si="9"/>
        <v>90</v>
      </c>
      <c r="B99" s="14"/>
      <c r="C99" s="14" t="s">
        <v>16</v>
      </c>
      <c r="D99" s="14"/>
      <c r="E99" s="87">
        <v>220</v>
      </c>
      <c r="F99" s="195">
        <f>H96*0.061-G99</f>
        <v>35966.10325</v>
      </c>
      <c r="G99" s="194">
        <f>G96*0.061</f>
        <v>11957.664791666666</v>
      </c>
      <c r="H99" s="90">
        <f t="shared" si="12"/>
        <v>47923.76804166667</v>
      </c>
      <c r="I99" s="91">
        <f t="shared" si="13"/>
        <v>2.665649058680131E-2</v>
      </c>
      <c r="J99" s="91" t="str">
        <f>IFERROR(#REF!/H99,"")</f>
        <v/>
      </c>
      <c r="K99" s="165" t="s">
        <v>16</v>
      </c>
      <c r="L99" s="314"/>
      <c r="N99" s="315"/>
    </row>
    <row r="100" spans="1:14" ht="15" customHeight="1">
      <c r="A100" s="154">
        <f t="shared" si="9"/>
        <v>91</v>
      </c>
      <c r="B100" s="14"/>
      <c r="C100" s="14" t="s">
        <v>17</v>
      </c>
      <c r="D100" s="14"/>
      <c r="E100" s="87">
        <v>225</v>
      </c>
      <c r="F100" s="195">
        <f>H96*0.0146-G100</f>
        <v>8608.2804500000002</v>
      </c>
      <c r="G100" s="195">
        <f>G96*0.0146</f>
        <v>2861.998458333333</v>
      </c>
      <c r="H100" s="90">
        <f t="shared" si="12"/>
        <v>11470.278908333334</v>
      </c>
      <c r="I100" s="91">
        <f t="shared" si="13"/>
        <v>6.3800780748737556E-3</v>
      </c>
      <c r="J100" s="91" t="str">
        <f>IFERROR(#REF!/H100,"")</f>
        <v/>
      </c>
      <c r="K100" s="165" t="s">
        <v>17</v>
      </c>
      <c r="L100" s="316"/>
      <c r="M100" s="317"/>
      <c r="N100" s="318"/>
    </row>
    <row r="101" spans="1:14" ht="15" customHeight="1">
      <c r="A101" s="154">
        <f t="shared" si="9"/>
        <v>92</v>
      </c>
      <c r="B101" s="14"/>
      <c r="C101" s="14" t="s">
        <v>18</v>
      </c>
      <c r="D101" s="14"/>
      <c r="E101" s="87" t="s">
        <v>19</v>
      </c>
      <c r="F101" s="195">
        <f>(H96-G95-F94-F95+33858)*0.06-G101</f>
        <v>28087.612499999996</v>
      </c>
      <c r="G101" s="311">
        <f>149891*0.08</f>
        <v>11991.28</v>
      </c>
      <c r="H101" s="90">
        <f t="shared" si="12"/>
        <v>40078.892499999994</v>
      </c>
      <c r="I101" s="91">
        <f t="shared" si="13"/>
        <v>2.2292959512841271E-2</v>
      </c>
      <c r="J101" s="91" t="str">
        <f>IFERROR(#REF!/H101,"")</f>
        <v/>
      </c>
      <c r="K101" s="165" t="s">
        <v>18</v>
      </c>
      <c r="L101" s="314"/>
      <c r="N101" s="315"/>
    </row>
    <row r="102" spans="1:14" ht="15" customHeight="1">
      <c r="A102" s="154">
        <f t="shared" si="9"/>
        <v>93</v>
      </c>
      <c r="B102" s="14"/>
      <c r="C102" s="14" t="s">
        <v>20</v>
      </c>
      <c r="D102" s="14"/>
      <c r="E102" s="87">
        <v>250</v>
      </c>
      <c r="F102" s="195">
        <v>7167</v>
      </c>
      <c r="G102" s="195"/>
      <c r="H102" s="90">
        <f t="shared" si="12"/>
        <v>7167</v>
      </c>
      <c r="I102" s="91">
        <f t="shared" si="13"/>
        <v>3.9864784394562152E-3</v>
      </c>
      <c r="J102" s="91" t="str">
        <f>IFERROR(#REF!/H102,"")</f>
        <v/>
      </c>
      <c r="K102" s="165" t="s">
        <v>20</v>
      </c>
      <c r="L102" s="314"/>
      <c r="N102" s="315"/>
    </row>
    <row r="103" spans="1:14" ht="15" customHeight="1">
      <c r="A103" s="154">
        <f t="shared" si="9"/>
        <v>94</v>
      </c>
      <c r="B103" s="14"/>
      <c r="C103" s="12" t="s">
        <v>22</v>
      </c>
      <c r="D103" s="14"/>
      <c r="E103" s="87">
        <v>270</v>
      </c>
      <c r="F103" s="195"/>
      <c r="G103" s="195"/>
      <c r="H103" s="90">
        <f t="shared" si="12"/>
        <v>0</v>
      </c>
      <c r="I103" s="91">
        <f t="shared" si="13"/>
        <v>0</v>
      </c>
      <c r="J103" s="91" t="str">
        <f>IFERROR(#REF!/H103,"")</f>
        <v/>
      </c>
      <c r="K103" s="165"/>
    </row>
    <row r="104" spans="1:14">
      <c r="A104" s="154">
        <f t="shared" si="9"/>
        <v>95</v>
      </c>
      <c r="B104" s="14"/>
      <c r="C104" s="12" t="s">
        <v>182</v>
      </c>
      <c r="D104" s="14"/>
      <c r="E104" s="87" t="s">
        <v>25</v>
      </c>
      <c r="F104" s="195">
        <f>12500-G104</f>
        <v>10886</v>
      </c>
      <c r="G104" s="195">
        <v>1614</v>
      </c>
      <c r="H104" s="104">
        <f t="shared" si="12"/>
        <v>12500</v>
      </c>
      <c r="I104" s="105">
        <f t="shared" si="13"/>
        <v>6.9528366810663721E-3</v>
      </c>
      <c r="J104" s="105" t="str">
        <f>IFERROR(#REF!/H104,"")</f>
        <v/>
      </c>
      <c r="K104" s="165" t="s">
        <v>259</v>
      </c>
    </row>
    <row r="105" spans="1:14" ht="15" customHeight="1">
      <c r="A105" s="167">
        <f t="shared" si="9"/>
        <v>96</v>
      </c>
      <c r="B105" s="15"/>
      <c r="C105" s="15"/>
      <c r="D105" s="16" t="s">
        <v>26</v>
      </c>
      <c r="E105" s="196" t="s">
        <v>27</v>
      </c>
      <c r="F105" s="197">
        <f>SUM(F98:F104)-G105</f>
        <v>130613.25294999999</v>
      </c>
      <c r="G105" s="197">
        <f>SUM(G98:G104)</f>
        <v>32423.343249999998</v>
      </c>
      <c r="H105" s="110">
        <f t="shared" si="12"/>
        <v>163036.5962</v>
      </c>
      <c r="I105" s="111">
        <f t="shared" si="13"/>
        <v>9.0685346113245302E-2</v>
      </c>
      <c r="J105" s="111" t="str">
        <f>IFERROR(#REF!/H105,"")</f>
        <v/>
      </c>
      <c r="K105" s="265"/>
    </row>
    <row r="106" spans="1:14" ht="17.25" customHeight="1">
      <c r="A106" s="186">
        <f t="shared" si="9"/>
        <v>97</v>
      </c>
      <c r="B106" s="6" t="s">
        <v>28</v>
      </c>
      <c r="C106" s="18"/>
      <c r="D106" s="6"/>
      <c r="E106" s="132"/>
      <c r="F106" s="198"/>
      <c r="G106" s="198"/>
      <c r="H106" s="199"/>
      <c r="I106" s="200"/>
      <c r="J106" s="200"/>
      <c r="K106" s="278"/>
    </row>
    <row r="107" spans="1:14" ht="17.25" customHeight="1">
      <c r="A107" s="154">
        <f t="shared" si="9"/>
        <v>98</v>
      </c>
      <c r="B107" s="20"/>
      <c r="C107" s="20" t="s">
        <v>29</v>
      </c>
      <c r="D107" s="20"/>
      <c r="E107" s="81">
        <v>332</v>
      </c>
      <c r="F107" s="203"/>
      <c r="G107" s="203"/>
      <c r="H107" s="83">
        <f>G107+F107</f>
        <v>0</v>
      </c>
      <c r="I107" s="84">
        <f t="shared" ref="I107:I111" si="14">H107/$H$155</f>
        <v>0</v>
      </c>
      <c r="J107" s="84" t="str">
        <f>IFERROR(#REF!/H107,"")</f>
        <v/>
      </c>
      <c r="K107" s="256"/>
    </row>
    <row r="108" spans="1:14" ht="15" customHeight="1">
      <c r="A108" s="154">
        <f t="shared" si="9"/>
        <v>99</v>
      </c>
      <c r="B108" s="14"/>
      <c r="C108" s="14" t="s">
        <v>183</v>
      </c>
      <c r="D108" s="14"/>
      <c r="E108" s="87">
        <v>333</v>
      </c>
      <c r="F108" s="195"/>
      <c r="G108" s="195"/>
      <c r="H108" s="90">
        <f>G108+F108</f>
        <v>0</v>
      </c>
      <c r="I108" s="91">
        <f t="shared" si="14"/>
        <v>0</v>
      </c>
      <c r="J108" s="91" t="str">
        <f>IFERROR(#REF!/H108,"")</f>
        <v/>
      </c>
      <c r="K108" s="165"/>
    </row>
    <row r="109" spans="1:14" ht="15" customHeight="1">
      <c r="A109" s="154">
        <f t="shared" si="9"/>
        <v>100</v>
      </c>
      <c r="B109" s="14"/>
      <c r="C109" s="14" t="s">
        <v>184</v>
      </c>
      <c r="D109" s="14"/>
      <c r="E109" s="87" t="s">
        <v>31</v>
      </c>
      <c r="F109" s="195"/>
      <c r="G109" s="311">
        <v>2500</v>
      </c>
      <c r="H109" s="90">
        <f>G109+F109</f>
        <v>2500</v>
      </c>
      <c r="I109" s="91">
        <f t="shared" si="14"/>
        <v>1.3905673362132743E-3</v>
      </c>
      <c r="J109" s="91" t="str">
        <f>IFERROR(#REF!/H109,"")</f>
        <v/>
      </c>
      <c r="K109" s="272" t="s">
        <v>256</v>
      </c>
    </row>
    <row r="110" spans="1:14">
      <c r="A110" s="154">
        <f t="shared" si="9"/>
        <v>101</v>
      </c>
      <c r="B110" s="14"/>
      <c r="C110" s="12" t="s">
        <v>186</v>
      </c>
      <c r="D110" s="14"/>
      <c r="E110" s="87" t="s">
        <v>31</v>
      </c>
      <c r="F110" s="195">
        <v>1500</v>
      </c>
      <c r="G110" s="311"/>
      <c r="H110" s="104">
        <f>G110+F110</f>
        <v>1500</v>
      </c>
      <c r="I110" s="105">
        <f t="shared" si="14"/>
        <v>8.3434040172796463E-4</v>
      </c>
      <c r="J110" s="105" t="str">
        <f>IFERROR(#REF!/H110,"")</f>
        <v/>
      </c>
      <c r="K110" s="272"/>
    </row>
    <row r="111" spans="1:14" ht="15" customHeight="1">
      <c r="A111" s="167">
        <f t="shared" si="9"/>
        <v>102</v>
      </c>
      <c r="B111" s="15"/>
      <c r="C111" s="15"/>
      <c r="D111" s="16" t="s">
        <v>33</v>
      </c>
      <c r="E111" s="196" t="s">
        <v>34</v>
      </c>
      <c r="F111" s="197">
        <f>SUM(F107:F110)</f>
        <v>1500</v>
      </c>
      <c r="G111" s="197">
        <f>SUM(G107:G110)</f>
        <v>2500</v>
      </c>
      <c r="H111" s="110">
        <f>G111+F111</f>
        <v>4000</v>
      </c>
      <c r="I111" s="111">
        <f t="shared" si="14"/>
        <v>2.2249077379412389E-3</v>
      </c>
      <c r="J111" s="111" t="str">
        <f>IFERROR(#REF!/H111,"")</f>
        <v/>
      </c>
      <c r="K111" s="265"/>
    </row>
    <row r="112" spans="1:14" ht="17.25" customHeight="1">
      <c r="A112" s="186">
        <f t="shared" si="9"/>
        <v>103</v>
      </c>
      <c r="B112" s="6" t="s">
        <v>35</v>
      </c>
      <c r="C112" s="6"/>
      <c r="D112" s="6"/>
      <c r="E112" s="132"/>
      <c r="F112" s="198"/>
      <c r="G112" s="198"/>
      <c r="H112" s="199"/>
      <c r="I112" s="200"/>
      <c r="J112" s="200"/>
      <c r="K112" s="278"/>
    </row>
    <row r="113" spans="1:11" ht="17.25" customHeight="1">
      <c r="A113" s="154">
        <f t="shared" si="9"/>
        <v>104</v>
      </c>
      <c r="B113" s="26"/>
      <c r="C113" s="20" t="s">
        <v>36</v>
      </c>
      <c r="D113" s="20"/>
      <c r="E113" s="81">
        <v>411</v>
      </c>
      <c r="F113" s="203"/>
      <c r="G113" s="203"/>
      <c r="H113" s="83">
        <f t="shared" ref="H113:H118" si="15">G113+F113</f>
        <v>0</v>
      </c>
      <c r="I113" s="84">
        <f t="shared" ref="I113:I118" si="16">H113/$H$155</f>
        <v>0</v>
      </c>
      <c r="J113" s="84" t="str">
        <f>IFERROR(#REF!/H113,"")</f>
        <v/>
      </c>
      <c r="K113" s="256"/>
    </row>
    <row r="114" spans="1:11" ht="15" customHeight="1">
      <c r="A114" s="154">
        <f t="shared" si="9"/>
        <v>105</v>
      </c>
      <c r="B114" s="27"/>
      <c r="C114" s="28" t="s">
        <v>37</v>
      </c>
      <c r="D114" s="14"/>
      <c r="E114" s="87">
        <v>441</v>
      </c>
      <c r="F114" s="195">
        <v>165000</v>
      </c>
      <c r="G114" s="195"/>
      <c r="H114" s="90">
        <f t="shared" si="15"/>
        <v>165000</v>
      </c>
      <c r="I114" s="91">
        <f t="shared" si="16"/>
        <v>9.1777444190076107E-2</v>
      </c>
      <c r="J114" s="91" t="str">
        <f>IFERROR(#REF!/H114,"")</f>
        <v/>
      </c>
      <c r="K114" s="165" t="s">
        <v>251</v>
      </c>
    </row>
    <row r="115" spans="1:11" ht="15" customHeight="1">
      <c r="A115" s="154">
        <f t="shared" si="9"/>
        <v>106</v>
      </c>
      <c r="B115" s="27"/>
      <c r="C115" s="14" t="s">
        <v>38</v>
      </c>
      <c r="D115" s="14"/>
      <c r="E115" s="87">
        <v>442</v>
      </c>
      <c r="F115" s="195">
        <f>193*12*2</f>
        <v>4632</v>
      </c>
      <c r="G115" s="195"/>
      <c r="H115" s="90">
        <f t="shared" si="15"/>
        <v>4632</v>
      </c>
      <c r="I115" s="91">
        <f t="shared" si="16"/>
        <v>2.5764431605359546E-3</v>
      </c>
      <c r="J115" s="91" t="str">
        <f>IFERROR(#REF!/H115,"")</f>
        <v/>
      </c>
      <c r="K115" s="165" t="s">
        <v>252</v>
      </c>
    </row>
    <row r="116" spans="1:11" ht="15" customHeight="1">
      <c r="A116" s="154">
        <f t="shared" si="9"/>
        <v>107</v>
      </c>
      <c r="B116" s="27"/>
      <c r="C116" s="14" t="s">
        <v>39</v>
      </c>
      <c r="D116" s="14"/>
      <c r="E116" s="87">
        <v>430</v>
      </c>
      <c r="F116" s="195">
        <v>5500</v>
      </c>
      <c r="G116" s="195"/>
      <c r="H116" s="90">
        <f t="shared" si="15"/>
        <v>5500</v>
      </c>
      <c r="I116" s="91">
        <f t="shared" si="16"/>
        <v>3.0592481396692038E-3</v>
      </c>
      <c r="J116" s="91" t="str">
        <f>IFERROR(#REF!/H116,"")</f>
        <v/>
      </c>
      <c r="K116" s="165" t="s">
        <v>253</v>
      </c>
    </row>
    <row r="117" spans="1:11" ht="15" customHeight="1">
      <c r="A117" s="154">
        <f t="shared" si="9"/>
        <v>108</v>
      </c>
      <c r="B117" s="14"/>
      <c r="C117" s="12" t="s">
        <v>192</v>
      </c>
      <c r="D117" s="14"/>
      <c r="E117" s="205" t="s">
        <v>41</v>
      </c>
      <c r="F117" s="311">
        <f>38780</f>
        <v>38780</v>
      </c>
      <c r="G117" s="195"/>
      <c r="H117" s="104">
        <f t="shared" si="15"/>
        <v>38780</v>
      </c>
      <c r="I117" s="105">
        <f t="shared" si="16"/>
        <v>2.1570480519340313E-2</v>
      </c>
      <c r="J117" s="105" t="str">
        <f>IFERROR(#REF!/H117,"")</f>
        <v/>
      </c>
      <c r="K117" s="313" t="s">
        <v>254</v>
      </c>
    </row>
    <row r="118" spans="1:11" ht="15" customHeight="1" thickBot="1">
      <c r="A118" s="174">
        <f t="shared" si="9"/>
        <v>109</v>
      </c>
      <c r="B118" s="30"/>
      <c r="C118" s="30" t="s">
        <v>42</v>
      </c>
      <c r="D118" s="31"/>
      <c r="E118" s="206">
        <v>400</v>
      </c>
      <c r="F118" s="207">
        <f>SUM(F113:F117)</f>
        <v>213912</v>
      </c>
      <c r="G118" s="207">
        <f>SUM(G113:G117)</f>
        <v>0</v>
      </c>
      <c r="H118" s="177">
        <f t="shared" si="15"/>
        <v>213912</v>
      </c>
      <c r="I118" s="178">
        <f t="shared" si="16"/>
        <v>0.11898361600962158</v>
      </c>
      <c r="J118" s="178" t="str">
        <f>IFERROR(#REF!/H118,"")</f>
        <v/>
      </c>
      <c r="K118" s="285"/>
    </row>
    <row r="119" spans="1:11" ht="17.25" customHeight="1" thickTop="1">
      <c r="A119" s="208">
        <f t="shared" si="9"/>
        <v>110</v>
      </c>
      <c r="B119" s="33" t="s">
        <v>43</v>
      </c>
      <c r="C119" s="33"/>
      <c r="D119" s="33"/>
      <c r="E119" s="209"/>
      <c r="F119" s="210"/>
      <c r="G119" s="210"/>
      <c r="H119" s="211"/>
      <c r="I119" s="212"/>
      <c r="J119" s="212"/>
      <c r="K119" s="283"/>
    </row>
    <row r="120" spans="1:11" ht="17.25" customHeight="1">
      <c r="A120" s="154">
        <f t="shared" si="9"/>
        <v>111</v>
      </c>
      <c r="B120" s="26"/>
      <c r="C120" s="10" t="s">
        <v>44</v>
      </c>
      <c r="D120" s="20"/>
      <c r="E120" s="81" t="s">
        <v>45</v>
      </c>
      <c r="F120" s="312">
        <v>7500</v>
      </c>
      <c r="G120" s="312"/>
      <c r="H120" s="83">
        <f t="shared" ref="H120:H129" si="17">G120+F120</f>
        <v>7500</v>
      </c>
      <c r="I120" s="84">
        <f t="shared" ref="I120:I129" si="18">H120/$H$155</f>
        <v>4.1717020086398235E-3</v>
      </c>
      <c r="J120" s="84" t="str">
        <f>IFERROR(#REF!/H120,"")</f>
        <v/>
      </c>
      <c r="K120" s="256"/>
    </row>
    <row r="121" spans="1:11" ht="15" customHeight="1">
      <c r="A121" s="154">
        <f t="shared" si="9"/>
        <v>112</v>
      </c>
      <c r="B121" s="26"/>
      <c r="C121" s="10" t="s">
        <v>194</v>
      </c>
      <c r="D121" s="20"/>
      <c r="E121" s="81">
        <v>522</v>
      </c>
      <c r="F121" s="312">
        <v>2300</v>
      </c>
      <c r="G121" s="203"/>
      <c r="H121" s="83">
        <f t="shared" si="17"/>
        <v>2300</v>
      </c>
      <c r="I121" s="84">
        <f t="shared" si="18"/>
        <v>1.2793219493162124E-3</v>
      </c>
      <c r="J121" s="84" t="str">
        <f>IFERROR(#REF!/H121,"")</f>
        <v/>
      </c>
      <c r="K121" s="256"/>
    </row>
    <row r="122" spans="1:11" ht="15" customHeight="1">
      <c r="A122" s="154">
        <f t="shared" si="9"/>
        <v>113</v>
      </c>
      <c r="B122" s="26"/>
      <c r="C122" s="10" t="s">
        <v>195</v>
      </c>
      <c r="D122" s="20"/>
      <c r="E122" s="81">
        <v>521</v>
      </c>
      <c r="F122" s="203"/>
      <c r="G122" s="203"/>
      <c r="H122" s="83">
        <f t="shared" si="17"/>
        <v>0</v>
      </c>
      <c r="I122" s="84">
        <f t="shared" si="18"/>
        <v>0</v>
      </c>
      <c r="J122" s="84" t="str">
        <f>IFERROR(#REF!/H122,"")</f>
        <v/>
      </c>
      <c r="K122" s="256"/>
    </row>
    <row r="123" spans="1:11" ht="15" customHeight="1">
      <c r="A123" s="154">
        <f t="shared" si="9"/>
        <v>114</v>
      </c>
      <c r="B123" s="26"/>
      <c r="C123" s="10" t="s">
        <v>196</v>
      </c>
      <c r="D123" s="20"/>
      <c r="E123" s="81">
        <v>523</v>
      </c>
      <c r="F123" s="203"/>
      <c r="G123" s="203"/>
      <c r="H123" s="83">
        <f t="shared" si="17"/>
        <v>0</v>
      </c>
      <c r="I123" s="84">
        <f t="shared" si="18"/>
        <v>0</v>
      </c>
      <c r="J123" s="84" t="str">
        <f>IFERROR(#REF!/H123,"")</f>
        <v/>
      </c>
      <c r="K123" s="256"/>
    </row>
    <row r="124" spans="1:11" ht="15" customHeight="1">
      <c r="A124" s="154">
        <f t="shared" si="9"/>
        <v>115</v>
      </c>
      <c r="B124" s="26"/>
      <c r="C124" s="10" t="s">
        <v>197</v>
      </c>
      <c r="D124" s="20"/>
      <c r="E124" s="81">
        <v>524</v>
      </c>
      <c r="F124" s="203"/>
      <c r="G124" s="203"/>
      <c r="H124" s="83">
        <f t="shared" si="17"/>
        <v>0</v>
      </c>
      <c r="I124" s="84">
        <f t="shared" si="18"/>
        <v>0</v>
      </c>
      <c r="J124" s="84" t="str">
        <f>IFERROR(#REF!/H124,"")</f>
        <v/>
      </c>
      <c r="K124" s="256"/>
    </row>
    <row r="125" spans="1:11" ht="15" customHeight="1">
      <c r="A125" s="154">
        <f t="shared" si="9"/>
        <v>116</v>
      </c>
      <c r="B125" s="27"/>
      <c r="C125" s="166" t="s">
        <v>198</v>
      </c>
      <c r="D125" s="14"/>
      <c r="E125" s="87">
        <v>525</v>
      </c>
      <c r="F125" s="195"/>
      <c r="G125" s="195"/>
      <c r="H125" s="90">
        <f t="shared" si="17"/>
        <v>0</v>
      </c>
      <c r="I125" s="91">
        <f t="shared" si="18"/>
        <v>0</v>
      </c>
      <c r="J125" s="91" t="str">
        <f>IFERROR(#REF!/H125,"")</f>
        <v/>
      </c>
      <c r="K125" s="165"/>
    </row>
    <row r="126" spans="1:11" ht="17.25" customHeight="1">
      <c r="A126" s="154">
        <f t="shared" si="9"/>
        <v>117</v>
      </c>
      <c r="B126" s="14"/>
      <c r="C126" s="12" t="s">
        <v>199</v>
      </c>
      <c r="D126" s="14"/>
      <c r="E126" s="205" t="s">
        <v>200</v>
      </c>
      <c r="F126" s="195"/>
      <c r="G126" s="213"/>
      <c r="H126" s="90">
        <f t="shared" si="17"/>
        <v>0</v>
      </c>
      <c r="I126" s="91">
        <f t="shared" si="18"/>
        <v>0</v>
      </c>
      <c r="J126" s="91" t="str">
        <f>IFERROR(#REF!/H126,"")</f>
        <v/>
      </c>
      <c r="K126" s="165"/>
    </row>
    <row r="127" spans="1:11">
      <c r="A127" s="154">
        <f t="shared" si="9"/>
        <v>118</v>
      </c>
      <c r="B127" s="14"/>
      <c r="C127" s="14" t="s">
        <v>201</v>
      </c>
      <c r="D127" s="14"/>
      <c r="E127" s="87" t="s">
        <v>50</v>
      </c>
      <c r="F127" s="195">
        <v>2000</v>
      </c>
      <c r="G127" s="312"/>
      <c r="H127" s="90">
        <f t="shared" si="17"/>
        <v>2000</v>
      </c>
      <c r="I127" s="91">
        <f t="shared" si="18"/>
        <v>1.1124538689706194E-3</v>
      </c>
      <c r="J127" s="91" t="str">
        <f>IFERROR(#REF!/H127,"")</f>
        <v/>
      </c>
      <c r="K127" s="272"/>
    </row>
    <row r="128" spans="1:11" ht="28.5">
      <c r="A128" s="154">
        <f t="shared" si="9"/>
        <v>119</v>
      </c>
      <c r="B128" s="14"/>
      <c r="C128" s="12" t="s">
        <v>202</v>
      </c>
      <c r="D128" s="14"/>
      <c r="E128" s="87" t="s">
        <v>53</v>
      </c>
      <c r="F128" s="311">
        <f>(50000+24000+5500+1500+1200)*1.05-G128</f>
        <v>80987</v>
      </c>
      <c r="G128" s="311">
        <v>5323</v>
      </c>
      <c r="H128" s="104">
        <f t="shared" si="17"/>
        <v>86310</v>
      </c>
      <c r="I128" s="105">
        <f t="shared" si="18"/>
        <v>4.8007946715427088E-2</v>
      </c>
      <c r="J128" s="105" t="str">
        <f>IFERROR(#REF!/H128,"")</f>
        <v/>
      </c>
      <c r="K128" s="272" t="s">
        <v>255</v>
      </c>
    </row>
    <row r="129" spans="1:11" ht="15" customHeight="1">
      <c r="A129" s="167">
        <f t="shared" si="9"/>
        <v>120</v>
      </c>
      <c r="B129" s="15"/>
      <c r="C129" s="15" t="s">
        <v>54</v>
      </c>
      <c r="D129" s="35"/>
      <c r="E129" s="196">
        <v>500</v>
      </c>
      <c r="F129" s="197">
        <f>SUM(F120:F128)</f>
        <v>92787</v>
      </c>
      <c r="G129" s="197">
        <f>SUM(G120:G128)</f>
        <v>5323</v>
      </c>
      <c r="H129" s="110">
        <f t="shared" si="17"/>
        <v>98110</v>
      </c>
      <c r="I129" s="111">
        <f t="shared" si="18"/>
        <v>5.4571424542353739E-2</v>
      </c>
      <c r="J129" s="111" t="str">
        <f>IFERROR(#REF!/H129,"")</f>
        <v/>
      </c>
      <c r="K129" s="265"/>
    </row>
    <row r="130" spans="1:11" ht="15" customHeight="1">
      <c r="A130" s="186">
        <f t="shared" si="9"/>
        <v>121</v>
      </c>
      <c r="B130" s="6" t="s">
        <v>55</v>
      </c>
      <c r="C130" s="6"/>
      <c r="D130" s="6"/>
      <c r="E130" s="132"/>
      <c r="F130" s="198"/>
      <c r="G130" s="198"/>
      <c r="H130" s="199"/>
      <c r="I130" s="200"/>
      <c r="J130" s="200"/>
      <c r="K130" s="278"/>
    </row>
    <row r="131" spans="1:11">
      <c r="A131" s="154">
        <f t="shared" si="9"/>
        <v>122</v>
      </c>
      <c r="B131" s="26"/>
      <c r="C131" s="36" t="s">
        <v>56</v>
      </c>
      <c r="D131" s="20"/>
      <c r="E131" s="81">
        <v>610</v>
      </c>
      <c r="F131" s="312">
        <f>32500-G131</f>
        <v>22500</v>
      </c>
      <c r="G131" s="312">
        <v>10000</v>
      </c>
      <c r="H131" s="83">
        <f t="shared" ref="H131:H136" si="19">G131+F131</f>
        <v>32500</v>
      </c>
      <c r="I131" s="84">
        <f t="shared" ref="I131:I136" si="20">H131/$H$155</f>
        <v>1.8077375370772569E-2</v>
      </c>
      <c r="J131" s="84" t="str">
        <f>IFERROR(#REF!/H131,"")</f>
        <v/>
      </c>
      <c r="K131" s="294"/>
    </row>
    <row r="132" spans="1:11" ht="15" customHeight="1">
      <c r="A132" s="154">
        <f t="shared" si="9"/>
        <v>123</v>
      </c>
      <c r="B132" s="27"/>
      <c r="C132" s="28" t="s">
        <v>57</v>
      </c>
      <c r="D132" s="14"/>
      <c r="E132" s="87" t="s">
        <v>58</v>
      </c>
      <c r="F132" s="311">
        <v>1500</v>
      </c>
      <c r="G132" s="195"/>
      <c r="H132" s="90">
        <f t="shared" si="19"/>
        <v>1500</v>
      </c>
      <c r="I132" s="91">
        <f t="shared" si="20"/>
        <v>8.3434040172796463E-4</v>
      </c>
      <c r="J132" s="91" t="str">
        <f>IFERROR(#REF!/H132,"")</f>
        <v/>
      </c>
      <c r="K132" s="165"/>
    </row>
    <row r="133" spans="1:11" ht="17.25" customHeight="1">
      <c r="A133" s="154">
        <f t="shared" si="9"/>
        <v>124</v>
      </c>
      <c r="B133" s="27"/>
      <c r="C133" s="28" t="s">
        <v>59</v>
      </c>
      <c r="D133" s="14"/>
      <c r="E133" s="87" t="s">
        <v>60</v>
      </c>
      <c r="F133" s="311">
        <v>5500</v>
      </c>
      <c r="G133" s="195"/>
      <c r="H133" s="90">
        <f t="shared" si="19"/>
        <v>5500</v>
      </c>
      <c r="I133" s="91">
        <f t="shared" si="20"/>
        <v>3.0592481396692038E-3</v>
      </c>
      <c r="J133" s="91" t="str">
        <f>IFERROR(#REF!/H133,"")</f>
        <v/>
      </c>
      <c r="K133" s="165"/>
    </row>
    <row r="134" spans="1:11" ht="17.25" customHeight="1">
      <c r="A134" s="154">
        <f t="shared" si="9"/>
        <v>125</v>
      </c>
      <c r="B134" s="27"/>
      <c r="C134" s="14" t="s">
        <v>61</v>
      </c>
      <c r="D134" s="14"/>
      <c r="E134" s="87" t="s">
        <v>62</v>
      </c>
      <c r="F134" s="311">
        <v>1500</v>
      </c>
      <c r="G134" s="195"/>
      <c r="H134" s="90">
        <f t="shared" si="19"/>
        <v>1500</v>
      </c>
      <c r="I134" s="91">
        <f t="shared" si="20"/>
        <v>8.3434040172796463E-4</v>
      </c>
      <c r="J134" s="91" t="str">
        <f>IFERROR(#REF!/H134,"")</f>
        <v/>
      </c>
      <c r="K134" s="165"/>
    </row>
    <row r="135" spans="1:11" ht="15" customHeight="1">
      <c r="A135" s="154">
        <f t="shared" si="9"/>
        <v>126</v>
      </c>
      <c r="B135" s="27"/>
      <c r="C135" s="12" t="s">
        <v>204</v>
      </c>
      <c r="D135" s="14"/>
      <c r="E135" s="87" t="s">
        <v>205</v>
      </c>
      <c r="F135" s="311">
        <v>3500</v>
      </c>
      <c r="G135" s="311"/>
      <c r="H135" s="104">
        <f t="shared" si="19"/>
        <v>3500</v>
      </c>
      <c r="I135" s="105">
        <f t="shared" si="20"/>
        <v>1.9467942706985842E-3</v>
      </c>
      <c r="J135" s="105" t="str">
        <f>IFERROR(#REF!/H135,"")</f>
        <v/>
      </c>
      <c r="K135" s="272"/>
    </row>
    <row r="136" spans="1:11" ht="15" customHeight="1">
      <c r="A136" s="167">
        <f t="shared" si="9"/>
        <v>127</v>
      </c>
      <c r="B136" s="15"/>
      <c r="C136" s="15" t="s">
        <v>64</v>
      </c>
      <c r="D136" s="35"/>
      <c r="E136" s="196">
        <v>600</v>
      </c>
      <c r="F136" s="197">
        <f>SUM(F131:F135)</f>
        <v>34500</v>
      </c>
      <c r="G136" s="197">
        <f>SUM(G131:G135)</f>
        <v>10000</v>
      </c>
      <c r="H136" s="110">
        <f t="shared" si="19"/>
        <v>44500</v>
      </c>
      <c r="I136" s="111">
        <f t="shared" si="20"/>
        <v>2.4752098584596285E-2</v>
      </c>
      <c r="J136" s="111" t="str">
        <f>IFERROR(#REF!/H136,"")</f>
        <v/>
      </c>
      <c r="K136" s="265"/>
    </row>
    <row r="137" spans="1:11" ht="15" customHeight="1">
      <c r="A137" s="186">
        <f t="shared" si="9"/>
        <v>128</v>
      </c>
      <c r="B137" s="6" t="s">
        <v>65</v>
      </c>
      <c r="C137" s="6"/>
      <c r="D137" s="6"/>
      <c r="E137" s="132"/>
      <c r="F137" s="198"/>
      <c r="G137" s="198"/>
      <c r="H137" s="199"/>
      <c r="I137" s="200"/>
      <c r="J137" s="200"/>
      <c r="K137" s="278"/>
    </row>
    <row r="138" spans="1:11" ht="15" customHeight="1">
      <c r="A138" s="154">
        <f t="shared" si="9"/>
        <v>129</v>
      </c>
      <c r="B138" s="26"/>
      <c r="C138" s="10" t="s">
        <v>66</v>
      </c>
      <c r="D138" s="20"/>
      <c r="E138" s="81">
        <v>710</v>
      </c>
      <c r="F138" s="203"/>
      <c r="G138" s="203"/>
      <c r="H138" s="83">
        <f>G138+F138</f>
        <v>0</v>
      </c>
      <c r="I138" s="84">
        <f t="shared" ref="I138:I142" si="21">H138/$H$155</f>
        <v>0</v>
      </c>
      <c r="J138" s="84" t="str">
        <f>IFERROR(#REF!/H138,"")</f>
        <v/>
      </c>
      <c r="K138" s="256"/>
    </row>
    <row r="139" spans="1:11" ht="17.25" customHeight="1">
      <c r="A139" s="154">
        <f t="shared" si="9"/>
        <v>130</v>
      </c>
      <c r="B139" s="27"/>
      <c r="C139" s="12" t="s">
        <v>67</v>
      </c>
      <c r="D139" s="14"/>
      <c r="E139" s="87">
        <v>720</v>
      </c>
      <c r="F139" s="195"/>
      <c r="G139" s="195"/>
      <c r="H139" s="90">
        <f>G139+F139</f>
        <v>0</v>
      </c>
      <c r="I139" s="91">
        <f t="shared" si="21"/>
        <v>0</v>
      </c>
      <c r="J139" s="91" t="str">
        <f>IFERROR(#REF!/H139,"")</f>
        <v/>
      </c>
      <c r="K139" s="165"/>
    </row>
    <row r="140" spans="1:11" ht="17.25" customHeight="1">
      <c r="A140" s="154">
        <f t="shared" si="9"/>
        <v>131</v>
      </c>
      <c r="B140" s="27"/>
      <c r="C140" s="28" t="s">
        <v>68</v>
      </c>
      <c r="D140" s="14"/>
      <c r="E140" s="87" t="s">
        <v>69</v>
      </c>
      <c r="F140" s="195"/>
      <c r="G140" s="195"/>
      <c r="H140" s="90">
        <f>G140+F140</f>
        <v>0</v>
      </c>
      <c r="I140" s="91">
        <f t="shared" si="21"/>
        <v>0</v>
      </c>
      <c r="J140" s="91" t="str">
        <f>IFERROR(#REF!/H140,"")</f>
        <v/>
      </c>
      <c r="K140" s="165"/>
    </row>
    <row r="141" spans="1:11" ht="14.25" customHeight="1">
      <c r="A141" s="154">
        <f t="shared" ref="A141:A155" si="22">A140+1</f>
        <v>132</v>
      </c>
      <c r="B141" s="14"/>
      <c r="C141" s="28" t="s">
        <v>206</v>
      </c>
      <c r="D141" s="14"/>
      <c r="E141" s="87" t="s">
        <v>71</v>
      </c>
      <c r="F141" s="195"/>
      <c r="G141" s="195"/>
      <c r="H141" s="104">
        <f>G141+F141</f>
        <v>0</v>
      </c>
      <c r="I141" s="105">
        <f t="shared" si="21"/>
        <v>0</v>
      </c>
      <c r="J141" s="105" t="str">
        <f>IFERROR(#REF!/H141,"")</f>
        <v/>
      </c>
      <c r="K141" s="165"/>
    </row>
    <row r="142" spans="1:11" ht="15" customHeight="1">
      <c r="A142" s="167">
        <f t="shared" si="22"/>
        <v>133</v>
      </c>
      <c r="B142" s="15"/>
      <c r="C142" s="15" t="s">
        <v>72</v>
      </c>
      <c r="D142" s="35"/>
      <c r="E142" s="196">
        <v>700</v>
      </c>
      <c r="F142" s="197">
        <f>SUM(F138:F141)</f>
        <v>0</v>
      </c>
      <c r="G142" s="197">
        <f>SUM(G138:G141)</f>
        <v>0</v>
      </c>
      <c r="H142" s="110">
        <f>G142+F142</f>
        <v>0</v>
      </c>
      <c r="I142" s="111">
        <f t="shared" si="21"/>
        <v>0</v>
      </c>
      <c r="J142" s="111" t="str">
        <f>IFERROR(#REF!/H142,"")</f>
        <v/>
      </c>
      <c r="K142" s="265"/>
    </row>
    <row r="143" spans="1:11" ht="15" customHeight="1">
      <c r="A143" s="186">
        <f t="shared" si="22"/>
        <v>134</v>
      </c>
      <c r="B143" s="6" t="s">
        <v>73</v>
      </c>
      <c r="C143" s="6"/>
      <c r="D143" s="6"/>
      <c r="E143" s="132"/>
      <c r="F143" s="198"/>
      <c r="G143" s="198"/>
      <c r="H143" s="199"/>
      <c r="I143" s="200"/>
      <c r="J143" s="200"/>
      <c r="K143" s="278"/>
    </row>
    <row r="144" spans="1:11" ht="15" customHeight="1">
      <c r="A144" s="154">
        <f t="shared" si="22"/>
        <v>135</v>
      </c>
      <c r="B144" s="26"/>
      <c r="C144" s="36" t="s">
        <v>207</v>
      </c>
      <c r="D144" s="20"/>
      <c r="E144" s="81">
        <v>810</v>
      </c>
      <c r="F144" s="203">
        <v>1573</v>
      </c>
      <c r="G144" s="203"/>
      <c r="H144" s="83">
        <f t="shared" ref="H144:H149" si="23">G144+F144</f>
        <v>1573</v>
      </c>
      <c r="I144" s="84">
        <f t="shared" ref="I144:I149" si="24">H144/$H$155</f>
        <v>8.7494496794539225E-4</v>
      </c>
      <c r="J144" s="84" t="str">
        <f>IFERROR(#REF!/H144,"")</f>
        <v/>
      </c>
      <c r="K144" s="256"/>
    </row>
    <row r="145" spans="1:11" ht="15" customHeight="1">
      <c r="A145" s="154">
        <f t="shared" si="22"/>
        <v>136</v>
      </c>
      <c r="B145" s="26"/>
      <c r="C145" s="36" t="s">
        <v>208</v>
      </c>
      <c r="D145" s="20"/>
      <c r="E145" s="81">
        <v>810</v>
      </c>
      <c r="F145" s="203">
        <f>F84*0.02</f>
        <v>31093.22</v>
      </c>
      <c r="G145" s="203"/>
      <c r="H145" s="83">
        <f t="shared" si="23"/>
        <v>31093.22</v>
      </c>
      <c r="I145" s="84">
        <f t="shared" si="24"/>
        <v>1.7294886443877323E-2</v>
      </c>
      <c r="J145" s="84" t="str">
        <f>IFERROR(#REF!/H145,"")</f>
        <v/>
      </c>
      <c r="K145" s="256"/>
    </row>
    <row r="146" spans="1:11" ht="17.25" customHeight="1">
      <c r="A146" s="154">
        <f t="shared" si="22"/>
        <v>137</v>
      </c>
      <c r="B146" s="26"/>
      <c r="C146" s="10" t="s">
        <v>75</v>
      </c>
      <c r="D146" s="20"/>
      <c r="E146" s="81">
        <v>830</v>
      </c>
      <c r="F146" s="203"/>
      <c r="G146" s="203"/>
      <c r="H146" s="83">
        <f t="shared" si="23"/>
        <v>0</v>
      </c>
      <c r="I146" s="84">
        <f t="shared" si="24"/>
        <v>0</v>
      </c>
      <c r="J146" s="84" t="str">
        <f>IFERROR(#REF!/H146,"")</f>
        <v/>
      </c>
      <c r="K146" s="256"/>
    </row>
    <row r="147" spans="1:11" ht="17.25" customHeight="1">
      <c r="A147" s="154">
        <f t="shared" si="22"/>
        <v>138</v>
      </c>
      <c r="B147" s="26"/>
      <c r="C147" s="10" t="s">
        <v>76</v>
      </c>
      <c r="D147" s="20"/>
      <c r="E147" s="81">
        <v>831</v>
      </c>
      <c r="F147" s="203"/>
      <c r="G147" s="203"/>
      <c r="H147" s="83">
        <f t="shared" si="23"/>
        <v>0</v>
      </c>
      <c r="I147" s="84">
        <f t="shared" si="24"/>
        <v>0</v>
      </c>
      <c r="J147" s="84" t="str">
        <f>IFERROR(#REF!/H147,"")</f>
        <v/>
      </c>
      <c r="K147" s="256"/>
    </row>
    <row r="148" spans="1:11" ht="15" customHeight="1">
      <c r="A148" s="154">
        <f t="shared" si="22"/>
        <v>139</v>
      </c>
      <c r="B148" s="27"/>
      <c r="C148" s="12" t="s">
        <v>209</v>
      </c>
      <c r="D148" s="14"/>
      <c r="E148" s="87" t="s">
        <v>78</v>
      </c>
      <c r="F148" s="195"/>
      <c r="G148" s="195"/>
      <c r="H148" s="104">
        <f t="shared" si="23"/>
        <v>0</v>
      </c>
      <c r="I148" s="105">
        <f t="shared" si="24"/>
        <v>0</v>
      </c>
      <c r="J148" s="105" t="str">
        <f>IFERROR(#REF!/H148,"")</f>
        <v/>
      </c>
      <c r="K148" s="165"/>
    </row>
    <row r="149" spans="1:11" ht="15" customHeight="1">
      <c r="A149" s="214">
        <f t="shared" si="22"/>
        <v>140</v>
      </c>
      <c r="B149" s="15"/>
      <c r="C149" s="15" t="s">
        <v>79</v>
      </c>
      <c r="D149" s="35"/>
      <c r="E149" s="196">
        <v>800</v>
      </c>
      <c r="F149" s="197">
        <f>SUM(F144:F148)</f>
        <v>32666.22</v>
      </c>
      <c r="G149" s="197">
        <f>SUM(G144:G148)</f>
        <v>0</v>
      </c>
      <c r="H149" s="110">
        <f t="shared" si="23"/>
        <v>32666.22</v>
      </c>
      <c r="I149" s="111">
        <f t="shared" si="24"/>
        <v>1.8169831411822716E-2</v>
      </c>
      <c r="J149" s="111" t="str">
        <f>IFERROR(#REF!/H149,"")</f>
        <v/>
      </c>
      <c r="K149" s="265"/>
    </row>
    <row r="150" spans="1:11" ht="15" customHeight="1">
      <c r="A150" s="215">
        <f t="shared" si="22"/>
        <v>141</v>
      </c>
      <c r="B150" s="6" t="s">
        <v>80</v>
      </c>
      <c r="C150" s="6"/>
      <c r="D150" s="6"/>
      <c r="E150" s="132"/>
      <c r="F150" s="198"/>
      <c r="G150" s="198"/>
      <c r="H150" s="199"/>
      <c r="I150" s="200"/>
      <c r="J150" s="200"/>
      <c r="K150" s="278"/>
    </row>
    <row r="151" spans="1:11" ht="17.25" customHeight="1">
      <c r="A151" s="154">
        <f t="shared" si="22"/>
        <v>142</v>
      </c>
      <c r="B151" s="27"/>
      <c r="C151" s="14" t="s">
        <v>211</v>
      </c>
      <c r="D151" s="14"/>
      <c r="E151" s="87">
        <v>933</v>
      </c>
      <c r="F151" s="311">
        <v>455967</v>
      </c>
      <c r="G151" s="195"/>
      <c r="H151" s="90">
        <f>G151+F151</f>
        <v>455967</v>
      </c>
      <c r="I151" s="91">
        <f t="shared" ref="I151:I155" si="25">H151/$H$155</f>
        <v>0.25362112663646325</v>
      </c>
      <c r="J151" s="91" t="str">
        <f>IFERROR(#REF!/H151,"")</f>
        <v/>
      </c>
      <c r="K151" s="165"/>
    </row>
    <row r="152" spans="1:11" ht="17.25" customHeight="1">
      <c r="A152" s="154">
        <f t="shared" si="22"/>
        <v>143</v>
      </c>
      <c r="B152" s="27"/>
      <c r="C152" s="14" t="s">
        <v>212</v>
      </c>
      <c r="D152" s="14"/>
      <c r="E152" s="87" t="s">
        <v>82</v>
      </c>
      <c r="F152" s="195"/>
      <c r="G152" s="195"/>
      <c r="H152" s="90">
        <f>G152+F152</f>
        <v>0</v>
      </c>
      <c r="I152" s="91">
        <f t="shared" si="25"/>
        <v>0</v>
      </c>
      <c r="J152" s="91" t="str">
        <f>IFERROR(#REF!/H152,"")</f>
        <v/>
      </c>
      <c r="K152" s="165"/>
    </row>
    <row r="153" spans="1:11" ht="15" customHeight="1">
      <c r="A153" s="154">
        <f t="shared" si="22"/>
        <v>144</v>
      </c>
      <c r="B153" s="98"/>
      <c r="C153" s="216"/>
      <c r="D153" s="98"/>
      <c r="E153" s="99"/>
      <c r="F153" s="195"/>
      <c r="G153" s="195"/>
      <c r="H153" s="104">
        <f>G153+F153</f>
        <v>0</v>
      </c>
      <c r="I153" s="105">
        <f t="shared" si="25"/>
        <v>0</v>
      </c>
      <c r="J153" s="105" t="str">
        <f>IFERROR(#REF!/H153,"")</f>
        <v/>
      </c>
      <c r="K153" s="165"/>
    </row>
    <row r="154" spans="1:11" ht="21" customHeight="1">
      <c r="A154" s="217">
        <f t="shared" si="22"/>
        <v>145</v>
      </c>
      <c r="B154" s="15"/>
      <c r="C154" s="15" t="s">
        <v>84</v>
      </c>
      <c r="D154" s="15"/>
      <c r="E154" s="196">
        <v>900</v>
      </c>
      <c r="F154" s="197">
        <f>SUM(F151:F153)</f>
        <v>455967</v>
      </c>
      <c r="G154" s="197">
        <f>SUM(G151:G153)</f>
        <v>0</v>
      </c>
      <c r="H154" s="110">
        <f>G154+F154</f>
        <v>455967</v>
      </c>
      <c r="I154" s="111">
        <f t="shared" si="25"/>
        <v>0.25362112663646325</v>
      </c>
      <c r="J154" s="111" t="str">
        <f>IFERROR(#REF!/H154,"")</f>
        <v/>
      </c>
      <c r="K154" s="296"/>
    </row>
    <row r="155" spans="1:11" ht="18.75" customHeight="1" thickBot="1">
      <c r="A155" s="217">
        <f t="shared" si="22"/>
        <v>146</v>
      </c>
      <c r="B155" s="39"/>
      <c r="C155" s="39"/>
      <c r="D155" s="40" t="s">
        <v>85</v>
      </c>
      <c r="E155" s="219" t="s">
        <v>86</v>
      </c>
      <c r="F155" s="220">
        <f>F96+F105+F111+F118+F129+F136+F142+F149+F154</f>
        <v>1551553.7229500001</v>
      </c>
      <c r="G155" s="220">
        <f t="shared" ref="G155" si="26">G96+G105+G111+G118+G129+G136+G142+G149+G154</f>
        <v>246273.63491666666</v>
      </c>
      <c r="H155" s="221">
        <f>G155+F155</f>
        <v>1797827.3578666667</v>
      </c>
      <c r="I155" s="222">
        <f t="shared" si="25"/>
        <v>1</v>
      </c>
      <c r="J155" s="222" t="str">
        <f>IFERROR(#REF!/H155,"")</f>
        <v/>
      </c>
      <c r="K155" s="285"/>
    </row>
    <row r="156" spans="1:11" ht="18.75" customHeight="1" thickTop="1" thickBot="1">
      <c r="A156" s="223"/>
      <c r="B156" s="224"/>
      <c r="C156" s="224"/>
      <c r="D156" s="224"/>
      <c r="E156" s="166"/>
      <c r="F156" s="225"/>
      <c r="G156" s="225"/>
      <c r="H156" s="226"/>
      <c r="I156" s="226"/>
      <c r="J156" s="226"/>
      <c r="K156" s="299"/>
    </row>
    <row r="157" spans="1:11" ht="32.25" customHeight="1" thickBot="1">
      <c r="A157" s="223"/>
      <c r="B157" s="226"/>
      <c r="C157" s="166"/>
      <c r="D157" s="227"/>
      <c r="E157" s="228" t="s">
        <v>213</v>
      </c>
      <c r="F157" s="229">
        <f>F84-F155</f>
        <v>3107.2770499999169</v>
      </c>
      <c r="G157" s="230">
        <f>G84-G155</f>
        <v>0.36508333333767951</v>
      </c>
      <c r="H157" s="231">
        <f>F157+G157</f>
        <v>3107.6421333332546</v>
      </c>
      <c r="I157" s="226"/>
      <c r="J157" s="226"/>
      <c r="K157" s="300" t="s">
        <v>214</v>
      </c>
    </row>
    <row r="158" spans="1:11" ht="27" customHeight="1" thickTop="1" thickBot="1">
      <c r="A158" s="223"/>
      <c r="B158" s="226"/>
      <c r="C158" s="166"/>
      <c r="D158" s="227"/>
      <c r="E158" s="228" t="s">
        <v>215</v>
      </c>
      <c r="F158" s="233">
        <f>369716-100184</f>
        <v>269532</v>
      </c>
      <c r="G158" s="234">
        <v>0</v>
      </c>
      <c r="H158" s="235"/>
      <c r="I158" s="226"/>
      <c r="J158" s="226"/>
      <c r="K158" s="302">
        <f>F159/F84</f>
        <v>0.17536895635125593</v>
      </c>
    </row>
    <row r="159" spans="1:11" ht="15" customHeight="1" thickTop="1">
      <c r="A159" s="223"/>
      <c r="B159" s="226"/>
      <c r="C159" s="166"/>
      <c r="D159" s="227"/>
      <c r="E159" s="228" t="s">
        <v>216</v>
      </c>
      <c r="F159" s="237">
        <f>SUM(F157:F158)</f>
        <v>272639.27704999992</v>
      </c>
      <c r="G159" s="238">
        <f>SUM(G157:G158)</f>
        <v>0.36508333333767951</v>
      </c>
      <c r="H159" s="239">
        <f>F159+G159</f>
        <v>272639.64213333325</v>
      </c>
      <c r="I159" s="226"/>
      <c r="J159" s="226"/>
      <c r="K159" s="299"/>
    </row>
    <row r="160" spans="1:11" ht="15" customHeight="1">
      <c r="A160" s="223"/>
      <c r="B160" s="226"/>
      <c r="C160" s="166"/>
      <c r="D160" s="227"/>
      <c r="E160" s="240"/>
      <c r="F160" s="241"/>
      <c r="G160" s="241"/>
      <c r="H160" s="226"/>
      <c r="I160" s="226"/>
      <c r="J160" s="226"/>
      <c r="K160" s="299"/>
    </row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</sheetData>
  <mergeCells count="15">
    <mergeCell ref="H5:H6"/>
    <mergeCell ref="E7:E9"/>
    <mergeCell ref="F7:F9"/>
    <mergeCell ref="G7:G9"/>
    <mergeCell ref="H7:H9"/>
    <mergeCell ref="A4:C4"/>
    <mergeCell ref="B5:D9"/>
    <mergeCell ref="E5:E6"/>
    <mergeCell ref="F5:F6"/>
    <mergeCell ref="G5:G6"/>
    <mergeCell ref="I7:I9"/>
    <mergeCell ref="J7:J9"/>
    <mergeCell ref="K7:K9"/>
    <mergeCell ref="B10:D10"/>
    <mergeCell ref="B85:D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CMO</vt:lpstr>
      <vt:lpstr>W1D</vt:lpstr>
      <vt:lpstr>W1A</vt:lpstr>
      <vt:lpstr>026123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millie.harris</dc:creator>
  <cp:lastModifiedBy>millie.harris</cp:lastModifiedBy>
  <dcterms:created xsi:type="dcterms:W3CDTF">2024-04-24T16:30:34Z</dcterms:created>
  <dcterms:modified xsi:type="dcterms:W3CDTF">2024-06-06T15:15:21Z</dcterms:modified>
</cp:coreProperties>
</file>